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gf-mmrdjen\Desktop\MARIJA\IZVJEŠTAJI - RAZNO\FINANCIJSKI PLAN\FINANCIJSKI PLAN 2020-2022\FINANCIJSKI PLAN 2020-2022 MZO\VIJEĆE - USVAJANJE\"/>
    </mc:Choice>
  </mc:AlternateContent>
  <workbookProtection workbookPassword="DE31" lockStructure="1"/>
  <bookViews>
    <workbookView xWindow="0" yWindow="0" windowWidth="28800" windowHeight="11535" firstSheet="2" activeTab="7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N50" i="14" l="1"/>
  <c r="K50" i="14"/>
  <c r="J50" i="1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H50" i="14" l="1"/>
  <c r="O50" i="14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3" i="13" l="1"/>
  <c r="P102" i="13"/>
  <c r="P97" i="13"/>
  <c r="P93" i="13"/>
  <c r="P89" i="13"/>
  <c r="P85" i="13"/>
  <c r="P68" i="13"/>
  <c r="P64" i="13"/>
  <c r="P59" i="13"/>
  <c r="P55" i="13"/>
  <c r="P51" i="13"/>
  <c r="P47" i="13"/>
  <c r="P31" i="13"/>
  <c r="P27" i="13"/>
  <c r="P22" i="13"/>
  <c r="P18" i="13"/>
  <c r="P14" i="13"/>
  <c r="P90" i="13"/>
  <c r="P65" i="13"/>
  <c r="P52" i="13"/>
  <c r="P32" i="13"/>
  <c r="P15" i="13"/>
  <c r="P106" i="13"/>
  <c r="P101" i="13"/>
  <c r="P96" i="13"/>
  <c r="P92" i="13"/>
  <c r="P88" i="13"/>
  <c r="P84" i="13"/>
  <c r="P67" i="13"/>
  <c r="P63" i="13"/>
  <c r="P58" i="13"/>
  <c r="P54" i="13"/>
  <c r="P50" i="13"/>
  <c r="P35" i="13"/>
  <c r="P30" i="13"/>
  <c r="P25" i="13"/>
  <c r="P21" i="13"/>
  <c r="P17" i="13"/>
  <c r="P13" i="13"/>
  <c r="P94" i="13"/>
  <c r="P70" i="13"/>
  <c r="P56" i="13"/>
  <c r="P28" i="13"/>
  <c r="P19" i="13"/>
  <c r="P104" i="13"/>
  <c r="P100" i="13"/>
  <c r="P95" i="13"/>
  <c r="P91" i="13"/>
  <c r="P87" i="13"/>
  <c r="P83" i="13"/>
  <c r="P66" i="13"/>
  <c r="P61" i="13"/>
  <c r="P57" i="13"/>
  <c r="P53" i="13"/>
  <c r="P49" i="13"/>
  <c r="P34" i="13"/>
  <c r="P29" i="13"/>
  <c r="P24" i="13"/>
  <c r="P20" i="13"/>
  <c r="P16" i="13"/>
  <c r="P12" i="13"/>
  <c r="P99" i="13"/>
  <c r="P86" i="13"/>
  <c r="P60" i="13"/>
  <c r="P48" i="13"/>
  <c r="P23" i="13"/>
  <c r="P11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N108" i="14"/>
  <c r="K108" i="14"/>
  <c r="J108" i="14"/>
  <c r="N107" i="14"/>
  <c r="K107" i="14"/>
  <c r="J107" i="14"/>
  <c r="N105" i="14"/>
  <c r="K105" i="14"/>
  <c r="J105" i="14"/>
  <c r="N104" i="14"/>
  <c r="K104" i="14"/>
  <c r="J104" i="14"/>
  <c r="N103" i="14"/>
  <c r="K103" i="14"/>
  <c r="J103" i="14"/>
  <c r="N102" i="14"/>
  <c r="K102" i="14"/>
  <c r="J102" i="14"/>
  <c r="N101" i="14"/>
  <c r="K101" i="14"/>
  <c r="J101" i="14"/>
  <c r="N99" i="14"/>
  <c r="K99" i="14"/>
  <c r="J99" i="14"/>
  <c r="N98" i="14"/>
  <c r="K98" i="14"/>
  <c r="J98" i="14"/>
  <c r="N97" i="14"/>
  <c r="K97" i="14"/>
  <c r="J97" i="14"/>
  <c r="N96" i="14"/>
  <c r="K96" i="14"/>
  <c r="J96" i="14"/>
  <c r="N95" i="14"/>
  <c r="K95" i="14"/>
  <c r="J95" i="14"/>
  <c r="N94" i="14"/>
  <c r="K94" i="14"/>
  <c r="J94" i="14"/>
  <c r="N93" i="14"/>
  <c r="K93" i="14"/>
  <c r="J93" i="14"/>
  <c r="J81" i="14"/>
  <c r="K81" i="14"/>
  <c r="N81" i="14"/>
  <c r="J82" i="14"/>
  <c r="K82" i="14"/>
  <c r="N82" i="14"/>
  <c r="J83" i="14"/>
  <c r="K83" i="14"/>
  <c r="N83" i="14"/>
  <c r="J84" i="14"/>
  <c r="K84" i="14"/>
  <c r="N84" i="14"/>
  <c r="J85" i="14"/>
  <c r="K85" i="14"/>
  <c r="N85" i="14"/>
  <c r="J87" i="14"/>
  <c r="K87" i="14"/>
  <c r="N87" i="14"/>
  <c r="N88" i="14"/>
  <c r="K88" i="14"/>
  <c r="J88" i="14"/>
  <c r="N79" i="14"/>
  <c r="K79" i="14"/>
  <c r="J79" i="14"/>
  <c r="N78" i="14"/>
  <c r="K78" i="14"/>
  <c r="J78" i="14"/>
  <c r="N77" i="14"/>
  <c r="K77" i="14"/>
  <c r="J77" i="14"/>
  <c r="N76" i="14"/>
  <c r="K76" i="14"/>
  <c r="J76" i="14"/>
  <c r="N75" i="14"/>
  <c r="K75" i="14"/>
  <c r="J75" i="14"/>
  <c r="N74" i="14"/>
  <c r="K74" i="14"/>
  <c r="J74" i="14"/>
  <c r="N73" i="14"/>
  <c r="K73" i="14"/>
  <c r="J73" i="14"/>
  <c r="P86" i="14" l="1"/>
  <c r="K86" i="14"/>
  <c r="N86" i="14"/>
  <c r="J86" i="14"/>
  <c r="O68" i="14"/>
  <c r="N68" i="14"/>
  <c r="K68" i="14"/>
  <c r="J68" i="14"/>
  <c r="H68" i="14"/>
  <c r="O67" i="14"/>
  <c r="N67" i="14"/>
  <c r="K67" i="14"/>
  <c r="J67" i="14"/>
  <c r="H67" i="14"/>
  <c r="O66" i="14"/>
  <c r="N66" i="14"/>
  <c r="K66" i="14"/>
  <c r="J66" i="14"/>
  <c r="H66" i="14"/>
  <c r="O65" i="14"/>
  <c r="N65" i="14"/>
  <c r="K65" i="14"/>
  <c r="J65" i="14"/>
  <c r="H65" i="14"/>
  <c r="O64" i="14"/>
  <c r="N64" i="14"/>
  <c r="K64" i="14"/>
  <c r="J64" i="14"/>
  <c r="H64" i="14"/>
  <c r="O62" i="14"/>
  <c r="N62" i="14"/>
  <c r="K62" i="14"/>
  <c r="J62" i="14"/>
  <c r="H62" i="14"/>
  <c r="O61" i="14"/>
  <c r="N61" i="14"/>
  <c r="K61" i="14"/>
  <c r="J61" i="14"/>
  <c r="H61" i="14"/>
  <c r="O60" i="14"/>
  <c r="N60" i="14"/>
  <c r="K60" i="14"/>
  <c r="J60" i="14"/>
  <c r="H60" i="14"/>
  <c r="O57" i="14"/>
  <c r="N57" i="14"/>
  <c r="K57" i="14"/>
  <c r="J57" i="14"/>
  <c r="H57" i="14"/>
  <c r="O56" i="14"/>
  <c r="N56" i="14"/>
  <c r="K56" i="14"/>
  <c r="J56" i="14"/>
  <c r="H56" i="14"/>
  <c r="O55" i="14"/>
  <c r="N55" i="14"/>
  <c r="K55" i="14"/>
  <c r="J55" i="14"/>
  <c r="H55" i="14"/>
  <c r="O54" i="14"/>
  <c r="N54" i="14"/>
  <c r="K54" i="14"/>
  <c r="J54" i="14"/>
  <c r="H54" i="14"/>
  <c r="O52" i="14"/>
  <c r="N52" i="14"/>
  <c r="K52" i="14"/>
  <c r="J52" i="14"/>
  <c r="H52" i="14"/>
  <c r="O48" i="14"/>
  <c r="N48" i="14"/>
  <c r="K48" i="14"/>
  <c r="J48" i="14"/>
  <c r="H48" i="14"/>
  <c r="O47" i="14"/>
  <c r="N47" i="14"/>
  <c r="K47" i="14"/>
  <c r="J47" i="14"/>
  <c r="H47" i="14"/>
  <c r="O46" i="14"/>
  <c r="N46" i="14"/>
  <c r="K46" i="14"/>
  <c r="J46" i="14"/>
  <c r="H46" i="14"/>
  <c r="O45" i="14"/>
  <c r="N45" i="14"/>
  <c r="K45" i="14"/>
  <c r="J45" i="14"/>
  <c r="H45" i="14"/>
  <c r="O44" i="14"/>
  <c r="N44" i="14"/>
  <c r="K44" i="14"/>
  <c r="J44" i="14"/>
  <c r="H44" i="14"/>
  <c r="O43" i="14"/>
  <c r="N43" i="14"/>
  <c r="K43" i="14"/>
  <c r="J43" i="14"/>
  <c r="H43" i="14"/>
  <c r="O41" i="14"/>
  <c r="N41" i="14"/>
  <c r="K41" i="14"/>
  <c r="J41" i="14"/>
  <c r="H41" i="14"/>
  <c r="O40" i="14"/>
  <c r="N40" i="14"/>
  <c r="K40" i="14"/>
  <c r="J40" i="14"/>
  <c r="H40" i="14"/>
  <c r="H63" i="14" l="1"/>
  <c r="K59" i="14"/>
  <c r="O59" i="14"/>
  <c r="H59" i="14"/>
  <c r="J59" i="14"/>
  <c r="N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K37" i="14"/>
  <c r="J37" i="14"/>
  <c r="H37" i="14"/>
  <c r="O36" i="14"/>
  <c r="N36" i="14"/>
  <c r="K36" i="14"/>
  <c r="J36" i="14"/>
  <c r="H36" i="14"/>
  <c r="O35" i="14"/>
  <c r="N35" i="14"/>
  <c r="K35" i="14"/>
  <c r="J35" i="14"/>
  <c r="H35" i="14"/>
  <c r="O34" i="14"/>
  <c r="N34" i="14"/>
  <c r="K34" i="14"/>
  <c r="J34" i="14"/>
  <c r="H34" i="14"/>
  <c r="O32" i="14"/>
  <c r="N32" i="14"/>
  <c r="K32" i="14"/>
  <c r="J32" i="14"/>
  <c r="H32" i="14"/>
  <c r="O31" i="14"/>
  <c r="N31" i="14"/>
  <c r="K31" i="14"/>
  <c r="J31" i="14"/>
  <c r="H31" i="14"/>
  <c r="O29" i="14"/>
  <c r="N29" i="14"/>
  <c r="K29" i="14"/>
  <c r="J29" i="14"/>
  <c r="H29" i="14"/>
  <c r="O28" i="14"/>
  <c r="N28" i="14"/>
  <c r="K28" i="14"/>
  <c r="J28" i="14"/>
  <c r="H28" i="14"/>
  <c r="O27" i="14"/>
  <c r="N27" i="14"/>
  <c r="K27" i="14"/>
  <c r="J27" i="14"/>
  <c r="H27" i="14"/>
  <c r="O26" i="14"/>
  <c r="N26" i="14"/>
  <c r="K26" i="14"/>
  <c r="J26" i="14"/>
  <c r="H26" i="14"/>
  <c r="O25" i="14"/>
  <c r="N25" i="14"/>
  <c r="K25" i="14"/>
  <c r="J25" i="14"/>
  <c r="H25" i="14"/>
  <c r="O24" i="14"/>
  <c r="N24" i="14"/>
  <c r="K24" i="14"/>
  <c r="J24" i="14"/>
  <c r="H24" i="14"/>
  <c r="O22" i="14"/>
  <c r="N22" i="14"/>
  <c r="K22" i="14"/>
  <c r="J22" i="14"/>
  <c r="H22" i="14"/>
  <c r="O21" i="14"/>
  <c r="N21" i="14"/>
  <c r="K21" i="14"/>
  <c r="J21" i="14"/>
  <c r="H21" i="14"/>
  <c r="O20" i="14"/>
  <c r="N20" i="14"/>
  <c r="K20" i="14"/>
  <c r="J20" i="14"/>
  <c r="H20" i="14"/>
  <c r="O18" i="14"/>
  <c r="N18" i="14"/>
  <c r="K18" i="14"/>
  <c r="J18" i="14"/>
  <c r="H18" i="14"/>
  <c r="G18" i="14"/>
  <c r="O17" i="14"/>
  <c r="N17" i="14"/>
  <c r="K17" i="14"/>
  <c r="J17" i="14"/>
  <c r="H17" i="14"/>
  <c r="O16" i="14"/>
  <c r="N16" i="14"/>
  <c r="K16" i="14"/>
  <c r="J16" i="14"/>
  <c r="H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F14" i="14" s="1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G35" i="14" s="1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K14" i="14"/>
  <c r="J14" i="14"/>
  <c r="H14" i="14"/>
  <c r="O13" i="14"/>
  <c r="N13" i="14"/>
  <c r="K13" i="14"/>
  <c r="J13" i="14"/>
  <c r="H13" i="14"/>
  <c r="E13" i="14"/>
  <c r="O12" i="14"/>
  <c r="N12" i="14"/>
  <c r="K12" i="14"/>
  <c r="J12" i="14"/>
  <c r="H12" i="14"/>
  <c r="F12" i="14"/>
  <c r="O11" i="14"/>
  <c r="N11" i="14"/>
  <c r="L11" i="14"/>
  <c r="K11" i="14"/>
  <c r="J11" i="14"/>
  <c r="H11" i="14"/>
  <c r="F11" i="14"/>
  <c r="E11" i="14"/>
  <c r="O10" i="14"/>
  <c r="N10" i="14"/>
  <c r="M10" i="14"/>
  <c r="K10" i="14"/>
  <c r="J10" i="14"/>
  <c r="H10" i="14"/>
  <c r="F10" i="14"/>
  <c r="O8" i="14"/>
  <c r="N8" i="14"/>
  <c r="K8" i="14"/>
  <c r="J8" i="14"/>
  <c r="H8" i="14"/>
  <c r="F8" i="14"/>
  <c r="E8" i="14"/>
  <c r="O7" i="14"/>
  <c r="N7" i="14"/>
  <c r="K7" i="14"/>
  <c r="J7" i="14"/>
  <c r="H7" i="14"/>
  <c r="F7" i="14"/>
  <c r="D7" i="14"/>
  <c r="O6" i="14"/>
  <c r="N6" i="14"/>
  <c r="K6" i="14"/>
  <c r="J6" i="14"/>
  <c r="H6" i="14"/>
  <c r="F6" i="14"/>
  <c r="E6" i="14"/>
  <c r="D6" i="14"/>
  <c r="D28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10" i="14" l="1"/>
  <c r="I14" i="14"/>
  <c r="E50" i="14"/>
  <c r="E49" i="14" s="1"/>
  <c r="E67" i="14"/>
  <c r="E65" i="14"/>
  <c r="E62" i="14"/>
  <c r="E60" i="14"/>
  <c r="E56" i="14"/>
  <c r="E54" i="14"/>
  <c r="E48" i="14"/>
  <c r="E46" i="14"/>
  <c r="E44" i="14"/>
  <c r="E41" i="14"/>
  <c r="E68" i="14"/>
  <c r="E66" i="14"/>
  <c r="E64" i="14"/>
  <c r="E61" i="14"/>
  <c r="E57" i="14"/>
  <c r="E55" i="14"/>
  <c r="E52" i="14"/>
  <c r="E47" i="14"/>
  <c r="E45" i="14"/>
  <c r="E43" i="14"/>
  <c r="E40" i="14"/>
  <c r="E21" i="14"/>
  <c r="E24" i="14"/>
  <c r="E26" i="14"/>
  <c r="E28" i="14"/>
  <c r="E31" i="14"/>
  <c r="E34" i="14"/>
  <c r="E36" i="14"/>
  <c r="E17" i="14"/>
  <c r="E20" i="14"/>
  <c r="E22" i="14"/>
  <c r="E25" i="14"/>
  <c r="E27" i="14"/>
  <c r="E29" i="14"/>
  <c r="E32" i="14"/>
  <c r="E35" i="14"/>
  <c r="E37" i="14"/>
  <c r="E108" i="14"/>
  <c r="E107" i="14"/>
  <c r="E105" i="14"/>
  <c r="E104" i="14"/>
  <c r="E103" i="14"/>
  <c r="E102" i="14"/>
  <c r="E101" i="14"/>
  <c r="E99" i="14"/>
  <c r="E98" i="14"/>
  <c r="E97" i="14"/>
  <c r="E96" i="14"/>
  <c r="E95" i="14"/>
  <c r="E94" i="14"/>
  <c r="E93" i="14"/>
  <c r="E88" i="14"/>
  <c r="E79" i="14"/>
  <c r="E78" i="14"/>
  <c r="E77" i="14"/>
  <c r="E76" i="14"/>
  <c r="E75" i="14"/>
  <c r="E74" i="14"/>
  <c r="E73" i="14"/>
  <c r="E87" i="14"/>
  <c r="E86" i="14" s="1"/>
  <c r="E81" i="14"/>
  <c r="E82" i="14"/>
  <c r="E83" i="14"/>
  <c r="E84" i="14"/>
  <c r="E85" i="14"/>
  <c r="E16" i="14"/>
  <c r="E18" i="14"/>
  <c r="I6" i="14"/>
  <c r="I7" i="14"/>
  <c r="I8" i="14"/>
  <c r="I11" i="14"/>
  <c r="I12" i="14"/>
  <c r="L37" i="14"/>
  <c r="L6" i="14"/>
  <c r="L10" i="14"/>
  <c r="L17" i="14"/>
  <c r="L18" i="14"/>
  <c r="L24" i="14"/>
  <c r="L28" i="14"/>
  <c r="L34" i="14"/>
  <c r="L14" i="14"/>
  <c r="L105" i="14"/>
  <c r="L101" i="14"/>
  <c r="L96" i="14"/>
  <c r="L83" i="14"/>
  <c r="L78" i="14"/>
  <c r="L74" i="14"/>
  <c r="L107" i="14"/>
  <c r="L102" i="14"/>
  <c r="L87" i="14"/>
  <c r="L75" i="14"/>
  <c r="L104" i="14"/>
  <c r="L99" i="14"/>
  <c r="L95" i="14"/>
  <c r="L84" i="14"/>
  <c r="L77" i="14"/>
  <c r="L73" i="14"/>
  <c r="L82" i="14"/>
  <c r="L108" i="14"/>
  <c r="L103" i="14"/>
  <c r="L98" i="14"/>
  <c r="L94" i="14"/>
  <c r="L81" i="14"/>
  <c r="L85" i="14"/>
  <c r="L88" i="14"/>
  <c r="L76" i="14"/>
  <c r="L97" i="14"/>
  <c r="L93" i="14"/>
  <c r="L79" i="14"/>
  <c r="L16" i="14"/>
  <c r="L22" i="14"/>
  <c r="L27" i="14"/>
  <c r="L32" i="14"/>
  <c r="L50" i="14"/>
  <c r="L68" i="14"/>
  <c r="L64" i="14"/>
  <c r="L57" i="14"/>
  <c r="L52" i="14"/>
  <c r="L45" i="14"/>
  <c r="L40" i="14"/>
  <c r="L67" i="14"/>
  <c r="L62" i="14"/>
  <c r="L48" i="14"/>
  <c r="L65" i="14"/>
  <c r="L60" i="14"/>
  <c r="L54" i="14"/>
  <c r="L46" i="14"/>
  <c r="L41" i="14"/>
  <c r="L56" i="14"/>
  <c r="L66" i="14"/>
  <c r="L61" i="14"/>
  <c r="L55" i="14"/>
  <c r="L47" i="14"/>
  <c r="L43" i="14"/>
  <c r="L44" i="14"/>
  <c r="L21" i="14"/>
  <c r="L26" i="14"/>
  <c r="L31" i="14"/>
  <c r="L36" i="14"/>
  <c r="L20" i="14"/>
  <c r="L25" i="14"/>
  <c r="L29" i="14"/>
  <c r="L35" i="14"/>
  <c r="I13" i="14"/>
  <c r="I16" i="14"/>
  <c r="I17" i="14"/>
  <c r="I82" i="14"/>
  <c r="I84" i="14"/>
  <c r="I87" i="14"/>
  <c r="I108" i="14"/>
  <c r="I105" i="14"/>
  <c r="I103" i="14"/>
  <c r="I101" i="14"/>
  <c r="I98" i="14"/>
  <c r="I96" i="14"/>
  <c r="I94" i="14"/>
  <c r="I88" i="14"/>
  <c r="I78" i="14"/>
  <c r="I76" i="14"/>
  <c r="I74" i="14"/>
  <c r="I81" i="14"/>
  <c r="I83" i="14"/>
  <c r="I85" i="14"/>
  <c r="I107" i="14"/>
  <c r="I104" i="14"/>
  <c r="I102" i="14"/>
  <c r="I99" i="14"/>
  <c r="I97" i="14"/>
  <c r="I95" i="14"/>
  <c r="I93" i="14"/>
  <c r="I79" i="14"/>
  <c r="I77" i="14"/>
  <c r="I75" i="14"/>
  <c r="I73" i="14"/>
  <c r="I50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48" i="14"/>
  <c r="I47" i="14"/>
  <c r="I46" i="14"/>
  <c r="I45" i="14"/>
  <c r="I44" i="14"/>
  <c r="I43" i="14"/>
  <c r="I41" i="14"/>
  <c r="I40" i="14"/>
  <c r="I18" i="14"/>
  <c r="I20" i="14"/>
  <c r="I21" i="14"/>
  <c r="I22" i="14"/>
  <c r="I24" i="14"/>
  <c r="I25" i="14"/>
  <c r="I26" i="14"/>
  <c r="I27" i="14"/>
  <c r="I28" i="14"/>
  <c r="I29" i="14"/>
  <c r="I31" i="14"/>
  <c r="I32" i="14"/>
  <c r="I34" i="14"/>
  <c r="I35" i="14"/>
  <c r="I36" i="14"/>
  <c r="I37" i="14"/>
  <c r="G17" i="14"/>
  <c r="G22" i="14"/>
  <c r="G27" i="14"/>
  <c r="G32" i="14"/>
  <c r="G37" i="14"/>
  <c r="G24" i="14"/>
  <c r="G28" i="14"/>
  <c r="G34" i="14"/>
  <c r="G105" i="14"/>
  <c r="G101" i="14"/>
  <c r="G96" i="14"/>
  <c r="G81" i="14"/>
  <c r="G85" i="14"/>
  <c r="G78" i="14"/>
  <c r="G74" i="14"/>
  <c r="G97" i="14"/>
  <c r="G84" i="14"/>
  <c r="G107" i="14"/>
  <c r="G102" i="14"/>
  <c r="G108" i="14"/>
  <c r="G103" i="14"/>
  <c r="G98" i="14"/>
  <c r="G94" i="14"/>
  <c r="G83" i="14"/>
  <c r="G88" i="14"/>
  <c r="G76" i="14"/>
  <c r="G77" i="14"/>
  <c r="G73" i="14"/>
  <c r="G75" i="14"/>
  <c r="G104" i="14"/>
  <c r="G99" i="14"/>
  <c r="G95" i="14"/>
  <c r="G82" i="14"/>
  <c r="G87" i="14"/>
  <c r="G93" i="14"/>
  <c r="G79" i="14"/>
  <c r="G20" i="14"/>
  <c r="G25" i="14"/>
  <c r="G29" i="14"/>
  <c r="G50" i="14"/>
  <c r="G67" i="14"/>
  <c r="G62" i="14"/>
  <c r="G56" i="14"/>
  <c r="G48" i="14"/>
  <c r="G44" i="14"/>
  <c r="G57" i="14"/>
  <c r="G52" i="14"/>
  <c r="G66" i="14"/>
  <c r="G61" i="14"/>
  <c r="G55" i="14"/>
  <c r="G47" i="14"/>
  <c r="G43" i="14"/>
  <c r="G41" i="14"/>
  <c r="G65" i="14"/>
  <c r="G60" i="14"/>
  <c r="G54" i="14"/>
  <c r="G46" i="14"/>
  <c r="G64" i="14"/>
  <c r="G45" i="14"/>
  <c r="G68" i="14"/>
  <c r="G40" i="14"/>
  <c r="G16" i="14"/>
  <c r="G21" i="14"/>
  <c r="G26" i="14"/>
  <c r="G31" i="14"/>
  <c r="G36" i="14"/>
  <c r="F36" i="14"/>
  <c r="F13" i="14"/>
  <c r="F16" i="14"/>
  <c r="F18" i="14"/>
  <c r="F21" i="14"/>
  <c r="F24" i="14"/>
  <c r="F26" i="14"/>
  <c r="F28" i="14"/>
  <c r="F31" i="14"/>
  <c r="F34" i="14"/>
  <c r="F74" i="14"/>
  <c r="F81" i="14"/>
  <c r="F82" i="14"/>
  <c r="F83" i="14"/>
  <c r="F84" i="14"/>
  <c r="F85" i="14"/>
  <c r="F87" i="14"/>
  <c r="F88" i="14"/>
  <c r="F79" i="14"/>
  <c r="F77" i="14"/>
  <c r="F75" i="14"/>
  <c r="F73" i="14"/>
  <c r="F108" i="14"/>
  <c r="F107" i="14"/>
  <c r="F105" i="14"/>
  <c r="F104" i="14"/>
  <c r="F103" i="14"/>
  <c r="F102" i="14"/>
  <c r="F101" i="14"/>
  <c r="F99" i="14"/>
  <c r="F98" i="14"/>
  <c r="F97" i="14"/>
  <c r="F96" i="14"/>
  <c r="F95" i="14"/>
  <c r="F94" i="14"/>
  <c r="F93" i="14"/>
  <c r="F78" i="14"/>
  <c r="F76" i="14"/>
  <c r="F50" i="14"/>
  <c r="F49" i="14" s="1"/>
  <c r="F48" i="14"/>
  <c r="F46" i="14"/>
  <c r="F44" i="14"/>
  <c r="F41" i="14"/>
  <c r="F40" i="14"/>
  <c r="F68" i="14"/>
  <c r="F66" i="14"/>
  <c r="F64" i="14"/>
  <c r="F61" i="14"/>
  <c r="F57" i="14"/>
  <c r="F55" i="14"/>
  <c r="F52" i="14"/>
  <c r="F47" i="14"/>
  <c r="F45" i="14"/>
  <c r="F43" i="14"/>
  <c r="F67" i="14"/>
  <c r="F65" i="14"/>
  <c r="F62" i="14"/>
  <c r="F60" i="14"/>
  <c r="F56" i="14"/>
  <c r="F54" i="14"/>
  <c r="F17" i="14"/>
  <c r="F20" i="14"/>
  <c r="F22" i="14"/>
  <c r="F25" i="14"/>
  <c r="F27" i="14"/>
  <c r="F29" i="14"/>
  <c r="F32" i="14"/>
  <c r="F35" i="14"/>
  <c r="F37" i="14"/>
  <c r="D40" i="14"/>
  <c r="D50" i="14"/>
  <c r="D49" i="14" s="1"/>
  <c r="M12" i="14"/>
  <c r="M8" i="14"/>
  <c r="M13" i="14"/>
  <c r="M6" i="14"/>
  <c r="M18" i="14"/>
  <c r="M7" i="14"/>
  <c r="M11" i="14"/>
  <c r="M14" i="14"/>
  <c r="M34" i="14"/>
  <c r="M105" i="14"/>
  <c r="M101" i="14"/>
  <c r="M96" i="14"/>
  <c r="M83" i="14"/>
  <c r="M78" i="14"/>
  <c r="M104" i="14"/>
  <c r="M99" i="14"/>
  <c r="M95" i="14"/>
  <c r="M84" i="14"/>
  <c r="M77" i="14"/>
  <c r="M73" i="14"/>
  <c r="M108" i="14"/>
  <c r="M103" i="14"/>
  <c r="M98" i="14"/>
  <c r="M94" i="14"/>
  <c r="M81" i="14"/>
  <c r="M85" i="14"/>
  <c r="M88" i="14"/>
  <c r="M76" i="14"/>
  <c r="M107" i="14"/>
  <c r="M102" i="14"/>
  <c r="M97" i="14"/>
  <c r="M93" i="14"/>
  <c r="M82" i="14"/>
  <c r="M87" i="14"/>
  <c r="M79" i="14"/>
  <c r="M75" i="14"/>
  <c r="M74" i="14"/>
  <c r="M24" i="14"/>
  <c r="M28" i="14"/>
  <c r="M50" i="14"/>
  <c r="M68" i="14"/>
  <c r="M64" i="14"/>
  <c r="M57" i="14"/>
  <c r="M52" i="14"/>
  <c r="M48" i="14"/>
  <c r="M44" i="14"/>
  <c r="M65" i="14"/>
  <c r="M60" i="14"/>
  <c r="M54" i="14"/>
  <c r="M45" i="14"/>
  <c r="M40" i="14"/>
  <c r="M66" i="14"/>
  <c r="M61" i="14"/>
  <c r="M55" i="14"/>
  <c r="M46" i="14"/>
  <c r="M41" i="14"/>
  <c r="M67" i="14"/>
  <c r="M62" i="14"/>
  <c r="M56" i="14"/>
  <c r="M47" i="14"/>
  <c r="M43" i="14"/>
  <c r="M17" i="14"/>
  <c r="M22" i="14"/>
  <c r="M27" i="14"/>
  <c r="M32" i="14"/>
  <c r="M37" i="14"/>
  <c r="M16" i="14"/>
  <c r="M21" i="14"/>
  <c r="M26" i="14"/>
  <c r="M31" i="14"/>
  <c r="M36" i="14"/>
  <c r="M20" i="14"/>
  <c r="M25" i="14"/>
  <c r="M29" i="14"/>
  <c r="M35" i="14"/>
  <c r="O82" i="14"/>
  <c r="O84" i="14"/>
  <c r="O87" i="14"/>
  <c r="O108" i="14"/>
  <c r="O105" i="14"/>
  <c r="O103" i="14"/>
  <c r="O101" i="14"/>
  <c r="O98" i="14"/>
  <c r="O96" i="14"/>
  <c r="O94" i="14"/>
  <c r="O88" i="14"/>
  <c r="O78" i="14"/>
  <c r="O76" i="14"/>
  <c r="O107" i="14"/>
  <c r="O104" i="14"/>
  <c r="O102" i="14"/>
  <c r="O99" i="14"/>
  <c r="O97" i="14"/>
  <c r="O93" i="14"/>
  <c r="O79" i="14"/>
  <c r="O77" i="14"/>
  <c r="O75" i="14"/>
  <c r="O81" i="14"/>
  <c r="O83" i="14"/>
  <c r="O85" i="14"/>
  <c r="O74" i="14"/>
  <c r="O95" i="14"/>
  <c r="O73" i="14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L86" i="14" l="1"/>
  <c r="L59" i="14"/>
  <c r="I59" i="14"/>
  <c r="I86" i="14"/>
  <c r="G86" i="14"/>
  <c r="F86" i="14"/>
  <c r="M86" i="14"/>
  <c r="M59" i="14"/>
  <c r="O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<sst xmlns="http://schemas.openxmlformats.org/spreadsheetml/2006/main" count="3475" uniqueCount="1697">
  <si>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</si>
  <si>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</si>
  <si>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</si>
  <si>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</si>
  <si>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</si>
  <si>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</si>
  <si>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</si>
  <si>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</si>
  <si>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</si>
  <si>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</si>
  <si>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</si>
  <si>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</si>
  <si>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</si>
  <si>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</si>
  <si>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</si>
  <si>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</si>
  <si>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</si>
  <si>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</si>
  <si>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</si>
  <si>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</si>
  <si>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</si>
  <si>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</si>
  <si>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</si>
  <si>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</si>
  <si>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</si>
  <si>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</si>
  <si>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</si>
  <si>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</si>
  <si>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</si>
  <si>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</si>
  <si>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</si>
  <si>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</si>
  <si>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</si>
  <si>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</si>
  <si>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</si>
  <si>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</si>
  <si>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</si>
  <si>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</si>
  <si>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</si>
  <si>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</si>
  <si>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</si>
  <si>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</si>
  <si>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</si>
  <si>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</si>
  <si>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</si>
  <si>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</si>
  <si>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</si>
  <si>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</si>
  <si>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</si>
  <si>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</si>
  <si>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</si>
  <si>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</si>
  <si>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</si>
  <si>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</si>
  <si>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</si>
  <si>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</si>
  <si>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</si>
  <si>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</si>
  <si>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</si>
  <si>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</si>
  <si>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</si>
  <si>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</si>
  <si>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</si>
  <si>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</si>
  <si>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</si>
  <si>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</si>
  <si>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</si>
  <si>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</si>
  <si>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</si>
  <si>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</si>
  <si>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</si>
  <si>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</si>
  <si>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</si>
  <si>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</si>
  <si>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</si>
  <si>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</si>
  <si>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</si>
  <si>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</si>
  <si>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</si>
  <si>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</si>
  <si>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</si>
  <si>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</si>
  <si>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</si>
  <si>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</si>
  <si>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</si>
  <si>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</si>
  <si>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</si>
  <si>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</si>
  <si>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</si>
  <si>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</si>
  <si>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</si>
  <si>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</si>
  <si>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</si>
  <si>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</si>
  <si>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</si>
  <si>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</si>
  <si>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</si>
  <si>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</si>
  <si>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</si>
  <si>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</si>
  <si>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</si>
  <si>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</si>
  <si>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</si>
  <si>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</si>
  <si>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</si>
  <si>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</si>
  <si>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</si>
  <si>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</si>
  <si>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</si>
  <si>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</si>
  <si>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</si>
  <si>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</si>
  <si>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</si>
  <si>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</si>
  <si>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</si>
  <si>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</si>
  <si>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</si>
  <si>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</si>
  <si>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</si>
  <si>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</si>
  <si>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</si>
  <si>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</si>
  <si>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</si>
  <si>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</si>
  <si>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</si>
  <si>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</si>
  <si>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</si>
  <si>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</si>
  <si>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</si>
  <si>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</si>
  <si>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</si>
  <si>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</si>
  <si>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</si>
  <si>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</si>
  <si>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</si>
  <si>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</si>
  <si>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</si>
  <si>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</si>
  <si>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</si>
  <si>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</si>
  <si>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</si>
  <si>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</si>
  <si>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</si>
  <si>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</si>
  <si>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</si>
  <si>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</si>
  <si>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</si>
  <si>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</si>
  <si>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</si>
  <si>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</si>
  <si>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</si>
  <si>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</si>
  <si>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</si>
  <si>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</si>
  <si>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</si>
  <si>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</si>
  <si>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</si>
  <si>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</si>
  <si>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</si>
  <si>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</si>
  <si>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</si>
  <si>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</si>
  <si>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</si>
  <si>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</si>
  <si>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</si>
  <si>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</si>
  <si>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</si>
  <si>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</si>
  <si>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</si>
  <si>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</si>
  <si>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</si>
  <si>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</si>
  <si>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</si>
  <si>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</si>
  <si>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</si>
  <si>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</si>
  <si>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</si>
  <si>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</si>
  <si>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</si>
  <si>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</si>
  <si>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</si>
  <si>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</si>
  <si>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</si>
  <si>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</si>
  <si>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</si>
  <si>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</si>
  <si>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</si>
  <si>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</si>
  <si>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</si>
  <si>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</si>
  <si>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</si>
  <si>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</si>
  <si>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</si>
  <si>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</si>
  <si>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</si>
  <si>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</si>
  <si>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</si>
  <si>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</si>
  <si>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</si>
  <si>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</si>
  <si>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</si>
  <si>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</si>
  <si>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</si>
  <si>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</si>
  <si>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</si>
  <si>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</si>
  <si>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</si>
  <si>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</si>
  <si>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</si>
  <si>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</si>
  <si>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</si>
  <si>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</si>
  <si>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</si>
  <si>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</si>
  <si>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</si>
  <si>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</si>
  <si>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</si>
  <si>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</si>
  <si>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</si>
  <si>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</si>
  <si>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</si>
  <si>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</si>
  <si>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</si>
  <si>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</si>
  <si>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</si>
  <si>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</si>
  <si>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</si>
  <si>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</si>
  <si>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</si>
  <si>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</si>
  <si>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</si>
  <si>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</si>
  <si>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</si>
  <si>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</si>
  <si>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</si>
  <si>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</si>
  <si>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</si>
  <si>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</si>
  <si>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</si>
  <si>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</si>
  <si>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</si>
  <si>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</si>
  <si>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</si>
  <si>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</si>
  <si>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</si>
  <si>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</si>
  <si>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</si>
  <si>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</si>
  <si>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</si>
  <si>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</si>
  <si>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</si>
  <si>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</si>
  <si>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</si>
  <si>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</si>
  <si>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</si>
  <si>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</si>
  <si>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</si>
  <si>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</si>
  <si>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</si>
  <si>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</si>
  <si>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</si>
  <si>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</si>
  <si>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</si>
  <si>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</si>
  <si>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</si>
  <si>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</si>
  <si>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</si>
  <si>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</si>
  <si>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</si>
  <si>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</si>
  <si>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</si>
  <si>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</si>
  <si>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</si>
  <si>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</si>
  <si>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</si>
  <si>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</si>
  <si>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</si>
  <si>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</si>
  <si>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</si>
  <si>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</si>
  <si>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</si>
  <si>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</si>
  <si>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</si>
  <si>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</si>
  <si>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</si>
  <si>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</si>
  <si>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</si>
  <si>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</si>
  <si>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</si>
  <si>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</si>
  <si>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</si>
  <si>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</si>
  <si>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</si>
  <si>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</si>
  <si>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</si>
  <si>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</si>
  <si>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</si>
  <si>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</si>
  <si>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</si>
  <si>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</si>
  <si>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</si>
  <si>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</si>
  <si>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</si>
  <si>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</si>
  <si>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</si>
  <si>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</si>
  <si>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</si>
  <si>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</si>
  <si>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</si>
  <si>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</si>
  <si>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</si>
  <si>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</si>
  <si>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</si>
  <si>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</si>
  <si>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</si>
  <si>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</si>
  <si>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</si>
  <si>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</si>
  <si>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</si>
  <si>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</si>
  <si>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</si>
  <si>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</si>
  <si>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</si>
  <si>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</si>
  <si>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</si>
  <si>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</si>
  <si>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</si>
  <si>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</si>
  <si>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</si>
  <si>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</si>
  <si>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</si>
  <si>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</si>
  <si>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</si>
  <si>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</si>
  <si>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</si>
  <si>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</si>
  <si>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</si>
  <si>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</si>
  <si>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</si>
  <si>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</si>
  <si>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</si>
  <si>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</si>
  <si>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</si>
  <si>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</si>
  <si>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</si>
  <si>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</si>
  <si>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</si>
  <si>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</si>
  <si>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</si>
  <si>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</si>
  <si>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</si>
  <si>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</si>
  <si>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</si>
  <si>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</si>
  <si>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</si>
  <si>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</si>
  <si>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</si>
  <si>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</si>
  <si>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</si>
  <si>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</si>
  <si>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</si>
  <si>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</si>
  <si>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</si>
  <si>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</si>
  <si>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</si>
  <si>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</si>
  <si>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</si>
  <si>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</si>
  <si>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</si>
  <si>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</si>
  <si>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</si>
  <si>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</si>
  <si>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</si>
  <si>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</si>
  <si>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</si>
  <si>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</si>
  <si>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</si>
  <si>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</si>
  <si>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</si>
  <si>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</si>
  <si>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</si>
  <si>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</si>
  <si>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</si>
  <si>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</si>
  <si>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</si>
  <si>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</si>
  <si>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</si>
  <si>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</si>
  <si>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</si>
  <si>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</si>
  <si>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</si>
  <si>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</si>
  <si>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</si>
  <si>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</si>
  <si>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</si>
  <si>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</si>
  <si>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</si>
  <si>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</si>
  <si>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</si>
  <si>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</si>
  <si>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</si>
  <si>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</si>
  <si>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</si>
  <si>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</si>
  <si>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</si>
  <si>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</si>
  <si>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</si>
  <si>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</si>
  <si>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</si>
  <si>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</si>
  <si>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</si>
  <si>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</si>
  <si>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</si>
  <si>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</si>
  <si>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</si>
  <si>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</si>
  <si>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</si>
  <si>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</si>
  <si>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</si>
  <si>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</si>
  <si>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</si>
  <si>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</si>
  <si>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</si>
  <si>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</si>
  <si>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</si>
  <si>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</si>
  <si>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</si>
  <si>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</si>
  <si>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</si>
  <si>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</si>
  <si>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</si>
  <si>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</si>
  <si>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</si>
  <si>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</si>
  <si>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</si>
  <si>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</si>
  <si>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</si>
  <si>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</si>
  <si>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</si>
  <si>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</si>
  <si>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</si>
  <si>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</si>
  <si>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</si>
  <si>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</si>
  <si>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</si>
  <si>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</si>
  <si>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</si>
  <si>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</si>
  <si>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</si>
  <si>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</si>
  <si>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</si>
  <si>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</si>
  <si>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</si>
  <si>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</si>
  <si>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</si>
  <si>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</si>
  <si>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</si>
  <si>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</si>
  <si>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</si>
  <si>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</si>
  <si>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</si>
  <si>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</si>
  <si>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</si>
  <si>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</si>
  <si>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</si>
  <si>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</si>
  <si>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</si>
  <si>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</si>
  <si>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</si>
  <si>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</si>
  <si>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</si>
  <si>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</si>
  <si>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</si>
  <si>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</si>
  <si>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</si>
  <si>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</si>
  <si>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</si>
  <si>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</si>
  <si>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</si>
  <si>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</si>
  <si>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</si>
  <si>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</si>
  <si>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</si>
  <si>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</si>
  <si>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</si>
  <si>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</si>
  <si>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</si>
  <si>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</si>
  <si>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</si>
  <si>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</si>
  <si>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</si>
  <si>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</si>
  <si>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</si>
  <si>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</si>
  <si>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</si>
  <si>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</si>
  <si>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</si>
  <si>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</si>
  <si>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</si>
  <si>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</si>
  <si>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</si>
  <si>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</si>
  <si>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</si>
  <si>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</si>
  <si>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</si>
  <si>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</si>
  <si>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</si>
  <si>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</si>
  <si>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</si>
  <si>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</si>
  <si>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</si>
  <si>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</si>
  <si>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</si>
  <si>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</si>
  <si>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</si>
  <si>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</si>
  <si>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</si>
  <si>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</si>
  <si>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</si>
  <si>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</si>
  <si>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</si>
  <si>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</si>
  <si>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</si>
  <si>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</si>
  <si>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</si>
  <si>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</si>
  <si>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</si>
  <si>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</si>
  <si>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</si>
  <si>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</si>
  <si>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</si>
  <si>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</si>
  <si>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</si>
  <si>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</si>
  <si>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</si>
  <si>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</si>
  <si>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</si>
  <si>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</si>
  <si>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</si>
  <si>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</si>
  <si>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</si>
  <si>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</si>
  <si>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</si>
  <si>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</si>
  <si>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</si>
  <si>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</si>
  <si>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</si>
  <si>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</si>
  <si>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</si>
  <si>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</si>
  <si>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</si>
  <si>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</si>
  <si>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</si>
  <si>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</si>
  <si>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</si>
  <si>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</si>
  <si>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</si>
  <si>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</si>
  <si>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</si>
  <si>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</si>
  <si>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</si>
  <si>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</si>
  <si>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</si>
  <si>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</si>
  <si>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</si>
  <si>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</si>
  <si>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</si>
  <si>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</si>
  <si>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</si>
  <si>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</si>
  <si>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</si>
  <si>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</si>
  <si>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</si>
  <si>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</si>
  <si>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</si>
  <si>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</si>
  <si>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</si>
  <si>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</si>
  <si>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</si>
  <si>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</si>
  <si>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</si>
  <si>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</si>
  <si>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</si>
  <si>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</si>
  <si>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</si>
  <si>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</si>
  <si>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</si>
  <si>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</si>
  <si>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</si>
  <si>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</si>
  <si>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</si>
  <si>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</si>
  <si>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</si>
  <si>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</si>
  <si>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</si>
  <si>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</si>
  <si>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</si>
  <si>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</si>
  <si>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</si>
  <si>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</si>
  <si>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</si>
  <si>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</si>
  <si>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</si>
  <si>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</si>
  <si>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</si>
  <si>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</si>
  <si>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</si>
  <si>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</si>
  <si>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</si>
  <si>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</si>
  <si>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</si>
  <si>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</si>
  <si>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</si>
  <si>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</si>
  <si>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</si>
  <si>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</si>
  <si>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</si>
  <si>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</si>
  <si>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</si>
  <si>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</si>
  <si>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</si>
  <si>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</si>
  <si>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</si>
  <si>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</si>
  <si>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</si>
  <si>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</si>
  <si>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</si>
  <si>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</si>
  <si>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</si>
  <si>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</si>
  <si>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</si>
  <si>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</si>
  <si>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</si>
  <si>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</si>
  <si>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</si>
  <si>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</si>
  <si>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</si>
  <si>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</si>
  <si>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</si>
  <si>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</si>
  <si>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</si>
  <si>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</si>
  <si>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</si>
  <si>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</si>
  <si>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</si>
  <si>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</si>
  <si>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</si>
  <si>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</si>
  <si>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</si>
  <si>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</si>
  <si>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</si>
  <si>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</si>
  <si>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</si>
  <si>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</si>
  <si>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</si>
  <si>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</si>
  <si>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</si>
  <si>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</si>
  <si>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</si>
  <si>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</si>
  <si>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</si>
  <si>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</si>
  <si>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</si>
  <si>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</si>
  <si>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</si>
  <si>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</si>
  <si>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</si>
  <si>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</si>
  <si>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</si>
  <si>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</si>
  <si>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</si>
  <si>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</si>
  <si>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</si>
  <si>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</si>
  <si>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</si>
  <si>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</si>
  <si>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</si>
  <si>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</si>
  <si>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</si>
  <si>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</si>
  <si>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</si>
  <si>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</si>
  <si>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</si>
  <si>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</si>
  <si>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</si>
  <si>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</si>
  <si>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</si>
  <si>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</si>
  <si>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</si>
  <si>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</si>
  <si>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</si>
  <si>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</si>
  <si>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</si>
  <si>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</si>
  <si>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</si>
  <si>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</si>
  <si>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</si>
  <si>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</si>
  <si>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</si>
  <si>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</si>
  <si>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</si>
  <si>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</si>
  <si>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</si>
  <si>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</si>
  <si>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</si>
  <si>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</si>
  <si>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</si>
  <si>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</si>
  <si>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</si>
  <si>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</si>
  <si>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</si>
  <si>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</si>
  <si>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</si>
  <si>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</si>
  <si>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</si>
  <si>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</si>
  <si>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</si>
  <si>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</si>
  <si>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</si>
  <si>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</si>
  <si>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</si>
  <si>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</si>
  <si>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</si>
  <si>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</si>
  <si>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</si>
  <si>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</si>
  <si>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</si>
  <si>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</si>
  <si>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</si>
  <si>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</si>
  <si>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</si>
  <si>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</si>
  <si>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</si>
  <si>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</si>
  <si>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</si>
  <si>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</si>
  <si>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</si>
  <si>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</si>
  <si>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</si>
  <si>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</si>
  <si>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</si>
  <si>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</si>
  <si>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</si>
  <si>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</si>
  <si>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</si>
  <si>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</si>
  <si>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</si>
  <si>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</si>
  <si>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</si>
  <si>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</si>
  <si>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</si>
  <si>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</si>
  <si>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</si>
  <si>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</si>
  <si>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</si>
  <si>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</si>
  <si>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</si>
  <si>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</si>
  <si>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</si>
  <si>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</si>
  <si>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</si>
  <si>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</si>
  <si>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</si>
  <si>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</si>
  <si>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</si>
  <si>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</si>
  <si>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</si>
  <si>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</si>
  <si>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</si>
  <si>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</si>
  <si>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</si>
  <si>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</si>
  <si>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</si>
  <si>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</si>
  <si>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</si>
  <si>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</si>
  <si>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</si>
  <si>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</si>
  <si>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</si>
  <si>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</si>
  <si>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</si>
  <si>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</si>
  <si>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</si>
  <si>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</si>
  <si>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</si>
  <si>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</si>
  <si>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</si>
  <si>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</si>
  <si>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</si>
  <si>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</si>
  <si>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</si>
  <si>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</si>
  <si>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</si>
  <si>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</si>
  <si>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</si>
  <si>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</si>
  <si>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</si>
  <si>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</si>
  <si>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</si>
  <si>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</si>
  <si>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</si>
  <si>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</si>
  <si>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</si>
  <si>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</si>
  <si>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</si>
  <si>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</si>
  <si>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</si>
  <si>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</si>
  <si>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</si>
  <si>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</si>
  <si>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</si>
  <si>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</si>
  <si>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</si>
  <si>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</si>
  <si>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</si>
  <si>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</si>
  <si>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</si>
  <si>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</si>
  <si>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</si>
  <si>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</si>
  <si>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</si>
  <si>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</si>
  <si>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</si>
  <si>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</si>
  <si>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</si>
  <si>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</si>
  <si>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</si>
  <si>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</si>
  <si>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</si>
  <si>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</si>
  <si>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</si>
  <si>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</si>
  <si>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</si>
  <si>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</si>
  <si>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</si>
  <si>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</si>
  <si>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</si>
  <si>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</si>
  <si>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</si>
  <si>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</si>
  <si>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</si>
  <si>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</si>
  <si>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</si>
  <si>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</si>
  <si>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</si>
  <si>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</si>
  <si>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</si>
  <si>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</si>
  <si>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</si>
  <si>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</si>
  <si>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</si>
  <si>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</si>
  <si>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</si>
  <si>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</si>
  <si>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</si>
  <si>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</si>
  <si>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</si>
  <si>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</si>
  <si>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</si>
  <si>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</si>
  <si>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</si>
  <si>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</si>
  <si>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</si>
  <si>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</si>
  <si>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</si>
  <si>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</si>
  <si>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</si>
  <si>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</si>
  <si>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</si>
  <si>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</si>
  <si>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</si>
  <si>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</si>
  <si>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</si>
  <si>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</si>
  <si>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</si>
  <si>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</si>
  <si>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</si>
  <si>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</si>
  <si>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</si>
  <si>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</si>
  <si>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</si>
  <si>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</si>
  <si>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</si>
  <si>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</si>
  <si>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</si>
  <si>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</si>
  <si>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</si>
  <si>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</si>
  <si>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</si>
  <si>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</si>
  <si>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</si>
  <si>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</si>
  <si>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</si>
  <si>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</si>
  <si>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</si>
  <si>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</si>
  <si>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</si>
  <si>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</si>
  <si>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</si>
  <si>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</si>
  <si>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</si>
  <si>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</si>
  <si>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</si>
  <si>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</si>
  <si>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</si>
  <si>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</si>
  <si>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</si>
  <si>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</si>
  <si>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</si>
  <si>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</si>
  <si>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</si>
  <si>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</si>
  <si>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</si>
  <si>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</si>
  <si>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</si>
  <si>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</si>
  <si>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</si>
  <si>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</si>
  <si>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</si>
  <si>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</si>
  <si>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</si>
  <si>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</si>
  <si>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</si>
  <si>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</si>
  <si>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</si>
  <si>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</si>
  <si>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</si>
  <si>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</si>
  <si>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</si>
  <si>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</si>
  <si>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</si>
  <si>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</si>
  <si>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</si>
  <si>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</si>
  <si>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</si>
  <si>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</si>
  <si>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</si>
  <si>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</si>
  <si>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</si>
  <si>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</si>
  <si>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</si>
  <si>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</si>
  <si>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</si>
  <si>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</si>
  <si>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</si>
  <si>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</si>
  <si>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</si>
  <si>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</si>
  <si>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</si>
  <si>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</si>
  <si>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</si>
  <si>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</si>
  <si>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</si>
  <si>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</si>
  <si>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</si>
  <si>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</si>
  <si>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</si>
  <si>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</si>
  <si>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</si>
  <si>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</si>
  <si>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</si>
  <si>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</si>
  <si>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</si>
  <si>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</si>
  <si>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</si>
  <si>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</si>
  <si>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</si>
  <si>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</si>
  <si>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</si>
  <si>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</si>
  <si>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</si>
  <si>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</si>
  <si>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</si>
  <si>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</si>
  <si>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</si>
  <si>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</si>
  <si>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</si>
  <si>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</si>
  <si>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</si>
  <si>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</si>
  <si>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</si>
  <si>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</si>
  <si>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</si>
  <si>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</si>
  <si>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</si>
  <si>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</si>
  <si>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</si>
  <si>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</si>
  <si>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</si>
  <si>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</si>
  <si>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</si>
  <si>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</si>
  <si>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</si>
  <si>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</si>
  <si>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</si>
  <si>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</si>
  <si>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</si>
  <si>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</si>
  <si>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</si>
  <si>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</si>
  <si>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</si>
  <si>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</si>
  <si>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</si>
  <si>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</si>
  <si>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</si>
  <si>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</si>
  <si>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</si>
  <si>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</si>
  <si>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</si>
  <si>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</si>
  <si>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</si>
  <si>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</si>
  <si>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</si>
  <si>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</si>
  <si>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</si>
  <si>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</si>
  <si>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</si>
  <si>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</si>
  <si>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</si>
  <si>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</si>
  <si>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</si>
  <si>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</si>
  <si>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</si>
  <si>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</si>
  <si>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</si>
  <si>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</si>
  <si>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</si>
  <si>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</si>
  <si>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</si>
  <si>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</si>
  <si>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</si>
  <si>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</si>
  <si>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</si>
  <si>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</si>
  <si>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</si>
  <si>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</si>
  <si>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</si>
  <si>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</si>
  <si>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</si>
  <si>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</si>
  <si>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</si>
  <si>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</si>
  <si>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</si>
  <si>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</si>
  <si>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</si>
  <si>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</si>
  <si>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</si>
  <si>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</si>
  <si>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</si>
  <si>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</si>
  <si>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</si>
  <si>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</si>
  <si>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</si>
  <si>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</si>
  <si>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</si>
  <si>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</si>
  <si>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</si>
  <si>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</si>
  <si>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</si>
  <si>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</si>
  <si>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</si>
  <si>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</si>
  <si>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</si>
  <si>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</si>
  <si>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</si>
  <si>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</si>
  <si>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</si>
  <si>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</si>
  <si>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</si>
  <si>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</si>
  <si>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</si>
  <si>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</si>
  <si>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</si>
  <si>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</si>
  <si>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</si>
  <si>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</si>
  <si>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</si>
  <si>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</si>
  <si>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</si>
  <si>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</si>
  <si>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</si>
  <si>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</si>
  <si>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</si>
  <si>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</si>
  <si>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</si>
  <si>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</si>
  <si>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</si>
  <si>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</si>
  <si>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</si>
  <si>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</si>
  <si>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</si>
  <si>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</si>
  <si>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</si>
  <si>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</si>
  <si>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</si>
  <si>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</si>
  <si>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</si>
  <si>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</si>
  <si>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</si>
  <si>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</si>
  <si>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</si>
  <si>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</si>
  <si>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</si>
  <si>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</si>
  <si>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</si>
  <si>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</si>
  <si>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</si>
  <si>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</si>
  <si>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</si>
  <si>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</si>
  <si>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</si>
  <si>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</si>
  <si>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</si>
  <si>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</si>
  <si>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</si>
  <si>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</si>
  <si>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</si>
  <si>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</si>
  <si>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</si>
  <si>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</si>
  <si>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</si>
  <si>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</si>
  <si>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</si>
  <si>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</si>
  <si>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</si>
  <si>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</si>
  <si>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</si>
  <si>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</si>
  <si>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</si>
  <si>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</si>
  <si>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</si>
  <si>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</si>
  <si>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</si>
  <si>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</si>
  <si>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</si>
  <si>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</si>
  <si>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</si>
  <si>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</si>
  <si>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</si>
  <si>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</si>
  <si>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</si>
  <si>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</si>
  <si>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</si>
  <si>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</si>
  <si>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</si>
  <si>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</si>
  <si>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</si>
  <si>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</si>
  <si>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</si>
  <si>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</si>
  <si>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</si>
  <si>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</si>
  <si>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</si>
  <si>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</si>
  <si>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</si>
  <si>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</si>
  <si>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</si>
  <si>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</si>
  <si>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</si>
  <si>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</si>
  <si>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</si>
  <si>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</si>
  <si>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</si>
  <si>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</si>
  <si>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</si>
  <si>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</si>
  <si>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</si>
  <si>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</si>
  <si>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</si>
  <si>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</si>
  <si>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</si>
  <si>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</si>
  <si>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</si>
  <si>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</si>
  <si>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</si>
  <si>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</si>
  <si>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</si>
  <si>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</si>
  <si>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</si>
  <si>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</si>
  <si>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</si>
  <si>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</si>
  <si>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</si>
  <si>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</si>
  <si>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</si>
  <si>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</si>
  <si>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</si>
  <si>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</si>
  <si>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</si>
  <si>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</si>
  <si>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</si>
  <si>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</si>
  <si>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</si>
  <si>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</si>
  <si>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</si>
  <si>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</si>
  <si>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</si>
  <si>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</si>
  <si>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</si>
  <si>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</si>
  <si>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</si>
  <si>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</si>
  <si>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</si>
  <si>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</si>
  <si>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</si>
  <si>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</si>
  <si>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</si>
  <si>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</si>
  <si>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</si>
  <si>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</si>
  <si>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</si>
  <si>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</si>
  <si>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</si>
  <si>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</si>
  <si>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</si>
  <si>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</si>
  <si>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</si>
  <si>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</si>
  <si>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</si>
  <si>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</si>
  <si>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</si>
  <si>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</si>
  <si>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</si>
  <si>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</si>
  <si>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</si>
  <si>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</si>
  <si>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</si>
  <si>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</si>
  <si>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</si>
  <si>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</si>
  <si>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</si>
  <si>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</si>
  <si>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</si>
  <si>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</si>
  <si>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</si>
  <si>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</si>
  <si>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</si>
  <si>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</si>
  <si>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</si>
  <si>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</si>
  <si>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</si>
  <si>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</si>
  <si>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</si>
  <si>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</si>
  <si>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</si>
  <si>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</si>
  <si>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</si>
  <si>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</si>
  <si>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</si>
  <si>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</si>
  <si>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</si>
  <si>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</si>
  <si>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</si>
  <si>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</si>
  <si>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</si>
  <si>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</si>
  <si>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</si>
  <si>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</si>
  <si>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</si>
  <si>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</si>
  <si>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</si>
  <si>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</si>
  <si>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</si>
  <si>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</si>
  <si>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</si>
  <si>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</si>
  <si>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</si>
  <si>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</si>
  <si>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</si>
  <si>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</si>
  <si>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</si>
  <si>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</si>
  <si>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</si>
  <si>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</si>
  <si>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</si>
  <si>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</si>
  <si>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</si>
  <si>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</si>
  <si>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</si>
  <si>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</si>
  <si>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</si>
  <si>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</si>
  <si>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</si>
  <si>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</si>
  <si>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</si>
  <si>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</si>
  <si>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</si>
  <si>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</si>
  <si>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</si>
  <si>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</si>
  <si>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</si>
  <si>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</si>
  <si>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</si>
  <si>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</si>
  <si>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</si>
  <si>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</si>
  <si>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</si>
  <si>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</si>
  <si>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</si>
  <si>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</si>
  <si>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</si>
  <si>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</si>
  <si>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</si>
  <si>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</si>
  <si>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</si>
  <si>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</si>
  <si>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</si>
  <si>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</si>
  <si>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</si>
  <si>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</si>
  <si>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</si>
  <si>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</si>
  <si>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</si>
  <si>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</si>
  <si>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</si>
  <si>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</si>
  <si>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</si>
  <si>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</si>
  <si>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</si>
  <si>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</si>
  <si>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</si>
  <si>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</si>
  <si>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</si>
  <si>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</si>
  <si>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</si>
  <si>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</si>
  <si>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</si>
  <si>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</si>
  <si>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</si>
  <si>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</si>
  <si>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</si>
  <si>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</si>
  <si>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</si>
  <si>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</si>
  <si>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</si>
  <si>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</si>
  <si>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</si>
  <si>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</si>
  <si>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</si>
  <si>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</si>
  <si>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</si>
  <si>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</si>
  <si>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</si>
  <si>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</si>
  <si>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</si>
  <si>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</si>
  <si>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</si>
  <si>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</si>
  <si>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</si>
  <si>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</si>
  <si>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</si>
  <si>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</si>
  <si>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</si>
  <si>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</si>
  <si>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</si>
  <si>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</si>
  <si>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</si>
  <si>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</si>
  <si>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</si>
  <si>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</si>
  <si>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</si>
  <si>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</si>
  <si>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</si>
  <si>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</si>
  <si>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</si>
  <si>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</si>
  <si>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</si>
  <si>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</si>
  <si>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</si>
  <si>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</si>
  <si>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</si>
  <si>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</si>
  <si>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</si>
  <si>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</si>
  <si>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</si>
  <si>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</si>
  <si>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</si>
  <si>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</si>
  <si>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</si>
  <si>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</si>
  <si>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</si>
  <si>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</si>
  <si>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</si>
  <si>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</si>
  <si>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</si>
  <si>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</si>
  <si>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</si>
  <si>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</si>
  <si>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</si>
  <si>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</si>
  <si>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</si>
  <si>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</si>
  <si>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</si>
  <si>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</si>
  <si>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</si>
  <si>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</si>
  <si>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</si>
  <si>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</si>
  <si>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</si>
  <si>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</si>
  <si>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</si>
  <si>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</si>
  <si>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</si>
  <si>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</si>
  <si>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</si>
  <si>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</si>
  <si>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</si>
  <si>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</si>
  <si>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</si>
  <si>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</si>
  <si>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</si>
  <si>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</si>
  <si>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</si>
  <si>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</si>
  <si>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</si>
  <si>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</si>
  <si>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</si>
  <si>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</si>
  <si>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</si>
  <si>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</si>
  <si>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</si>
  <si>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</si>
  <si>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</si>
  <si>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</si>
  <si>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</si>
  <si>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</si>
  <si>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</si>
  <si>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</si>
  <si>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</si>
  <si>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</si>
  <si>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</si>
  <si>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</si>
  <si>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</si>
  <si>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</si>
  <si>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</si>
  <si>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</si>
  <si>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</si>
  <si>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</si>
  <si>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</si>
  <si>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</si>
  <si>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</si>
  <si>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</si>
  <si>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</si>
  <si>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</si>
  <si>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</si>
  <si>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</si>
  <si>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</si>
  <si>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</si>
  <si>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</si>
  <si>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</si>
  <si>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</si>
  <si>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</si>
  <si>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</si>
  <si>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</si>
  <si>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</si>
  <si>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</si>
  <si>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</si>
  <si>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</si>
  <si>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</si>
  <si>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</si>
  <si>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</si>
  <si>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</si>
  <si>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</si>
  <si>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</si>
  <si>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</si>
  <si>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</si>
  <si>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</si>
  <si>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</si>
  <si>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</si>
  <si>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</si>
  <si>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</si>
  <si>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</si>
  <si>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</si>
  <si>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</si>
  <si>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</si>
  <si>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</si>
  <si>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</si>
  <si>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</si>
  <si>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</si>
  <si>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</si>
  <si>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</si>
  <si>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</si>
  <si>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</si>
  <si>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</si>
  <si>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</si>
  <si>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</si>
  <si>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</si>
  <si>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</si>
  <si>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</si>
  <si>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</si>
  <si>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</si>
  <si>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</si>
  <si>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</si>
  <si>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</si>
  <si>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</si>
  <si>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</si>
  <si>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</si>
  <si>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</si>
  <si>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</si>
  <si>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</si>
  <si>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</si>
  <si>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</si>
  <si>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</si>
  <si>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</si>
  <si>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</si>
  <si>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</si>
  <si>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</si>
  <si>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</si>
  <si>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</si>
  <si>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</si>
  <si>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</si>
  <si>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</si>
  <si>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</si>
  <si>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</si>
  <si>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</si>
  <si>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</si>
  <si>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</si>
  <si>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</si>
  <si>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</si>
  <si>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</si>
  <si>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</si>
  <si>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</si>
  <si>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</si>
  <si>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</si>
  <si>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</si>
  <si>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</si>
  <si>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</si>
  <si>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</si>
  <si>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</si>
  <si>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</si>
  <si>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</si>
  <si>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</si>
  <si>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</si>
  <si>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</si>
  <si>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</si>
  <si>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</si>
  <si>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</si>
  <si>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</si>
  <si>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</si>
  <si>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</si>
  <si>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</si>
  <si>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</si>
  <si>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</si>
  <si>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</si>
  <si>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</si>
  <si>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</si>
  <si>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</si>
  <si>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</si>
  <si>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</si>
  <si>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</si>
  <si>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</si>
  <si>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</si>
  <si>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</si>
  <si>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</si>
  <si>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</si>
  <si>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</si>
  <si>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</si>
  <si>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</si>
  <si>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</si>
  <si>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</si>
  <si>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</si>
  <si>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</si>
  <si>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</si>
  <si>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</si>
  <si>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</si>
  <si>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</si>
  <si>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</si>
  <si>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</si>
  <si>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</si>
  <si>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</si>
  <si>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</si>
  <si>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</si>
  <si>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</si>
  <si>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</si>
  <si>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</si>
  <si>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</si>
  <si>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</si>
  <si>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</si>
  <si>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</si>
  <si>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</si>
  <si>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</si>
  <si>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</si>
  <si>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</si>
  <si>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</si>
  <si>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</si>
  <si>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</si>
  <si>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</si>
  <si>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</si>
  <si>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</si>
  <si>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</si>
  <si>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</si>
  <si>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</si>
  <si>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</si>
  <si>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</si>
  <si>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</si>
  <si>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</si>
  <si>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</si>
  <si>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</si>
  <si>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</si>
  <si>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</si>
  <si>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</si>
  <si>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</si>
  <si>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</si>
  <si>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</si>
  <si>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</si>
  <si>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</si>
  <si>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</si>
  <si>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</si>
  <si>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</si>
  <si>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</si>
  <si>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</si>
  <si>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</si>
  <si>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</si>
  <si>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</si>
  <si>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</si>
  <si>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</si>
  <si>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</si>
  <si>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</si>
  <si>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</si>
  <si>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</si>
  <si>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</si>
  <si>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</si>
  <si>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</si>
  <si>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</si>
  <si>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</si>
  <si>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</si>
  <si>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</si>
  <si>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</si>
  <si>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</si>
  <si>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</si>
  <si>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</si>
  <si>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</si>
  <si>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</si>
  <si>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</si>
  <si>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</si>
  <si>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</si>
  <si>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</si>
  <si>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</si>
  <si>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</si>
  <si>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</si>
  <si>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</si>
  <si>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</si>
  <si>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</si>
  <si>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</si>
  <si>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</si>
  <si>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</si>
  <si>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</si>
  <si>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</si>
  <si>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</si>
  <si>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</si>
  <si>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</si>
  <si>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</si>
  <si>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</si>
  <si>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</si>
  <si>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</si>
  <si>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</si>
  <si>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</si>
  <si>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</si>
  <si>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</si>
  <si>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</si>
  <si>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</si>
  <si>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</si>
  <si>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</si>
  <si>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</si>
  <si>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</si>
  <si>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2348 SVEUČILIŠTE U SPLITU - FAKULTET GRAĐEVINARSTVA, ARHITEKTURE I GEODEZIJE</t>
  </si>
  <si>
    <t>MARIJA MRĐEN</t>
  </si>
  <si>
    <t>marija.mrdjen@gradst.hr</t>
  </si>
  <si>
    <t xml:space="preserve"> </t>
  </si>
  <si>
    <t>Program INTERREG MEDITERRANEAN 2014.-2020.</t>
  </si>
  <si>
    <t>01.01.2019.</t>
  </si>
  <si>
    <t>30.06.2021.</t>
  </si>
  <si>
    <t>Sveučilište u Ferrari</t>
  </si>
  <si>
    <t>Agencija Aries</t>
  </si>
  <si>
    <t>Regija Molise</t>
  </si>
  <si>
    <t>31.12.2020.</t>
  </si>
  <si>
    <t>Sveučilište u Udinama</t>
  </si>
  <si>
    <t>01.02.2018.</t>
  </si>
  <si>
    <t>31.01.2022.</t>
  </si>
  <si>
    <t>Sveučilište u Padovi</t>
  </si>
  <si>
    <t>MoST - Monitoring prodora slane vode u obalne vodonosnike i testiranje pilot projekata za smanjenje štetnog utjecaja od zaslanjivanja</t>
  </si>
  <si>
    <t>Nove tehnologije za detekciju i analizu marko i mirkoplastike u Jadranskom bazenu – NET4mPLASTIC</t>
  </si>
  <si>
    <t>PMO-GATE - Sprječavanje, upravljanje i prevladavanje rizika od prirodnih katastrofa radi ublažavanja njihova utjecaja na gospodarstvo i društvo</t>
  </si>
  <si>
    <t>DEEP-SEA – Razvoj planiranja energetske učinkovitosti i mobilnih usluga marina na Jadranskoj obali</t>
  </si>
  <si>
    <t>E-CITIJENS - Sustav za podršku odlučivanju (SPO) u upravljanju hitnim situacijama za potrebe civilne zaštite zasnovan na građanskom novinarstvu, a za poboljšanje sigurnosti na području Jadrana</t>
  </si>
  <si>
    <t>AdSWiM - Upravljano korištenje pročišćenih komunalnih otpadnih voda radi kvalitete Jadranskog mora</t>
  </si>
  <si>
    <t>Plastic Busters MPA: Očuvanje biološke raznolikosti od plastike u zaštićenim morskim područjima na Mediteranu</t>
  </si>
  <si>
    <t>Krajnji je cilj Projekta poboljšati zaštitu staništa i vrsta u pelagijskim i obalnim morskim zaštićenim područjima kroz ciljano praćenje i procjenu, prevenciju i ublažavanje. To se postiže ubrzanjem prijenosa znanja, umrežavanjem morskih zaštićenih područja te sinergijom s europskim i mediteranskim procesima upravljanja.</t>
  </si>
  <si>
    <t>Ministerio de economia, Španjolska</t>
  </si>
  <si>
    <t>Program Interrreg Italija-Hrvatska 2014.-2020.: Projektom će se unaprijediti znanje i razumijevanje utjecaja povezanih s makro i mikroplastičnim ostacima u obalnom i morskom okolišu okupljanjem različitih stručnjaka. Finalni će rezultat činiti procjena stanja znanosti, određivanje distribucije, obilja i utjecaja naslaga MP-a te podizanje javne svijesti putem online i offline diseminacije. </t>
  </si>
  <si>
    <t>Program Interrreg Italija-Hrvatska 2014.-2020.: Konačni rezultati bit će plan upravljanja rizikom usmjeren na savladavanje izvanrednih stanja s najmanjim mogućim utjecajem na društvo i gospodarstvo kao i razvoj sustava ranog upozorenja kako bi se povećala sigurnost i otpornost na prirodne katastrofe. Projekt će omogućiti sprječavanje, upravljanje i prevladavanje rizika od prirodnih katastrofa, zaštitit će ljudske živote kao i društveno-ekonomsku i društveno-kulturnu baštinu. Posebno, PMO-GATE cilja kreirati sinergiju između lokalnih autoriteta, istraživačkih instituta, škola i sveučilišta te građana, kako bi se upravljalo višestrukim opasnostima tipičnima za uključene regije.</t>
  </si>
  <si>
    <t>Program Interrreg Italija-Hrvatska 2014.-2020.: DEEP-SEA se bavi problematikom prevladavajućeg korištenja jednim prijevoznim sredstvom (automobilom), vrlo zagađujućeg pomorskog prijevoza (plovila s endotermičkim motorima) i ograničene integracije ponuđenih usluga mobilnosti u navedenom sektoru.  Ovaj Projekt razvojem terenski ispitanog modela temeljenog na znanstvenim dokazima želi poduprijeti operatore mobilnosti i državnu upravu u planiranju i provedbi održive mobilnosti. Planiranje će povećati ponudu energetski učinkovitih usluga mobilnosti, uglavnom električnog i dijeljenog prijevoza, te će navesti marine da se pobrinu za rastuću potražnju punionica za električne brodove.</t>
  </si>
  <si>
    <t>Program Interrreg Italija-Hrvatska 2014.-2020.: Općeniti cilj projekta je povećati sigurnost hrvatskog i talijanskog područja Jadrana kod prirodnih katastrofa i katastrofa uzrokovanih ljudskim djelovanjem poboljšanjem mjera i instrumenata za prevenciju i upravljanje u slučaju opasnosti.</t>
  </si>
  <si>
    <t>Program Interrreg Italija-Hrvatska 2014.-2020.:  U sklopu provedbe projekta, hrvatska i talijanska strana razvit će specifične sustave monitoringa zaslanjivanja obalnih vodonosnika s ciljem detekcije dinamičkih svojstava i identifikacije procesa koji utječu na svojstva polja slanosti. Provedbom projektnih aktivnosti predviđeno je razumijevanje procesa u području obuhvata obaju strana i izrada plana prilagodbe s ciljem smanjenje štetnog djelovanja morske vode i očuvanja kakvoće vodnih tijela u obuhvatu, sve s naglaskom na prekograničnu suradnju projektnih partnera u vidu razmjene iskustava i znanstvenih postignuća.</t>
  </si>
  <si>
    <t>Program Interrreg Italija-Hrvatska 2014.-2020.: Projektom se potiče prekogranično integrirano upravljanje vodnim resursima kako bi se ponovno uspostavila poremećena ravnoteža hranjivih tvari koja utječe na hranidbeni lanac. AdSWiM projekt spaja istraživačke institucije, lokalne vlasti i komunalna poduzeća kako bi zajedno radili na unaprjeđivanju kvalitete morske vode. </t>
  </si>
  <si>
    <t>Referentni broj: KK.01.1.1.02.0027 Projekt "Implementacijom suvremene znanstveno-istraživačke infrastrukture na FGAG do pametne specijalizacije u zelenoj i energetski učinkovitoj gradnji"</t>
  </si>
  <si>
    <t>19.11.2019.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</si>
</sst>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6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  <font>
      <sz val="9"/>
      <color rgb="FF333333"/>
      <name val="Arial"/>
      <family val="2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8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8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7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8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8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0" fillId="54" borderId="0" xfId="0" applyFill="1"/>
    <xf numFmtId="0" fontId="65" fillId="0" borderId="0" xfId="0" applyFont="1"/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7" fillId="0" borderId="40" xfId="0" applyFont="1" applyBorder="1"/>
    <xf numFmtId="0" fontId="57" fillId="0" borderId="40" xfId="0" applyFont="1" applyBorder="1" applyProtection="1"/>
    <xf numFmtId="0" fontId="59" fillId="0" borderId="0" xfId="2" applyNumberFormat="1" applyFont="1" applyFill="1" applyBorder="1" applyAlignment="1" applyProtection="1">
      <alignment horizontal="center" vertical="center" wrapText="1"/>
    </xf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workbookViewId="0">
      <selection activeCell="C5" sqref="C5:E5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4" t="s">
        <v>1665</v>
      </c>
      <c r="D3" s="255"/>
      <c r="E3" s="2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7" t="s">
        <v>1696</v>
      </c>
      <c r="D4" s="258"/>
      <c r="E4" s="259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7" t="s">
        <v>1666</v>
      </c>
      <c r="D5" s="258"/>
      <c r="E5" s="259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7">
        <v>21303307</v>
      </c>
      <c r="D6" s="258"/>
      <c r="E6" s="259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7" t="s">
        <v>1667</v>
      </c>
      <c r="D7" s="258"/>
      <c r="E7" s="259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62" t="s">
        <v>842</v>
      </c>
      <c r="C9" s="261"/>
      <c r="D9" s="261"/>
      <c r="E9" s="261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62" t="s">
        <v>3</v>
      </c>
      <c r="C10" s="261"/>
      <c r="D10" s="261"/>
      <c r="E10" s="261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60"/>
      <c r="C11" s="261"/>
      <c r="D11" s="261"/>
      <c r="E11" s="261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110047840</v>
      </c>
      <c r="D14" s="173">
        <f>+D15+D16</f>
        <v>42420038</v>
      </c>
      <c r="E14" s="173">
        <f>+E15+E16</f>
        <v>40357020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110043340</v>
      </c>
      <c r="D15" s="176">
        <f>'PLAN PRIHODA I PRIMITAKA '!C62</f>
        <v>42415538</v>
      </c>
      <c r="E15" s="176">
        <f>'PLAN PRIHODA I PRIMITAKA '!C98</f>
        <v>40352520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4500</v>
      </c>
      <c r="D16" s="176">
        <f>'PLAN PRIHODA I PRIMITAKA '!C69</f>
        <v>4500</v>
      </c>
      <c r="E16" s="176">
        <f>'PLAN PRIHODA I PRIMITAKA '!C105</f>
        <v>4500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110459140</v>
      </c>
      <c r="D17" s="180">
        <f>+D18+D19</f>
        <v>42721503</v>
      </c>
      <c r="E17" s="180">
        <f>+E18+E19</f>
        <v>40372281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45895045</v>
      </c>
      <c r="D18" s="182">
        <f>'PLAN RASHODA I IZDATAKA'!C72</f>
        <v>41732991</v>
      </c>
      <c r="E18" s="182">
        <f>'PLAN RASHODA I IZDATAKA'!C92</f>
        <v>39362326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64564095</v>
      </c>
      <c r="D19" s="182">
        <f>'PLAN RASHODA I IZDATAKA'!C80</f>
        <v>988512</v>
      </c>
      <c r="E19" s="182">
        <f>'PLAN RASHODA I IZDATAKA'!C100</f>
        <v>1009955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-411300</v>
      </c>
      <c r="D20" s="173">
        <f>+D14-D17</f>
        <v>-301465</v>
      </c>
      <c r="E20" s="173">
        <f>+E14-E17</f>
        <v>-15261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60"/>
      <c r="C21" s="261"/>
      <c r="D21" s="261"/>
      <c r="E21" s="261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1350650</v>
      </c>
      <c r="D23" s="181">
        <f>'PLAN PRIHODA I PRIMITAKA '!C41</f>
        <v>939350</v>
      </c>
      <c r="E23" s="181">
        <f>'PLAN PRIHODA I PRIMITAKA '!C77</f>
        <v>637885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-939350</v>
      </c>
      <c r="D24" s="185">
        <f>'PLAN PRIHODA I PRIMITAKA '!C43</f>
        <v>-637885</v>
      </c>
      <c r="E24" s="186">
        <f>'PLAN PRIHODA I PRIMITAKA '!C79</f>
        <v>-622624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60"/>
      <c r="C25" s="261"/>
      <c r="D25" s="261"/>
      <c r="E25" s="261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60"/>
      <c r="C30" s="261"/>
      <c r="D30" s="261"/>
      <c r="E30" s="261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pane ySplit="2" topLeftCell="A3" activePane="bottomLeft" state="frozen"/>
      <selection pane="bottomLeft" activeCell="I13" sqref="I13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3" t="s">
        <v>812</v>
      </c>
      <c r="B1" s="263"/>
      <c r="C1" s="263"/>
      <c r="D1" s="263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71</v>
      </c>
      <c r="D3" s="140" t="str">
        <f t="shared" ref="D3:D66" si="1">IFERROR(VLOOKUP(E3,$R$6:$U$73,4,FALSE),"")</f>
        <v>Prihodi od nefin. imovine i nadoknade štete s osnova osig.</v>
      </c>
      <c r="E3" s="153">
        <v>721110071</v>
      </c>
      <c r="F3" s="206" t="str">
        <f>IFERROR(VLOOKUP(E3,$R$6:$U$73,2,FALSE),"")</f>
        <v>Stambeni objekti za zaposlene izvor 71</v>
      </c>
      <c r="G3" s="198">
        <v>4500</v>
      </c>
      <c r="H3" s="198">
        <v>4500</v>
      </c>
      <c r="I3" s="198">
        <v>4500</v>
      </c>
      <c r="K3" s="144" t="str">
        <f>LEFT(E3,3)</f>
        <v>721</v>
      </c>
      <c r="L3" s="144" t="str">
        <f>LEFT(E3,2)</f>
        <v>72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61</v>
      </c>
      <c r="D4" s="140" t="str">
        <f t="shared" si="1"/>
        <v>Donacije</v>
      </c>
      <c r="E4" s="153">
        <v>663120000</v>
      </c>
      <c r="F4" s="141" t="str">
        <f t="shared" ref="F4:F66" si="2">IFERROR(VLOOKUP(E4,$R$6:$U$73,2,FALSE),"")</f>
        <v>Tekuće donacije od neprofitnih organizacija</v>
      </c>
      <c r="G4" s="198">
        <v>147434</v>
      </c>
      <c r="H4" s="198">
        <v>100000</v>
      </c>
      <c r="I4" s="198">
        <v>30000</v>
      </c>
      <c r="K4" s="144" t="str">
        <f t="shared" ref="K4:K67" si="3">LEFT(E4,3)</f>
        <v>663</v>
      </c>
      <c r="L4" s="144" t="str">
        <f t="shared" ref="L4:L67" si="4">LEFT(E4,2)</f>
        <v>66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61</v>
      </c>
      <c r="D5" s="140" t="str">
        <f t="shared" si="1"/>
        <v>Donacije</v>
      </c>
      <c r="E5" s="153">
        <v>663130000</v>
      </c>
      <c r="F5" s="141" t="str">
        <f t="shared" si="2"/>
        <v>Tekuće donacije od trgovačkih društava</v>
      </c>
      <c r="G5" s="198">
        <v>50000</v>
      </c>
      <c r="H5" s="198">
        <v>50000</v>
      </c>
      <c r="I5" s="198">
        <v>50000</v>
      </c>
      <c r="K5" s="144" t="str">
        <f t="shared" si="3"/>
        <v>663</v>
      </c>
      <c r="L5" s="144" t="str">
        <f t="shared" si="4"/>
        <v>66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11</v>
      </c>
      <c r="D6" s="140" t="str">
        <f t="shared" si="1"/>
        <v>Opći prihodi i primici</v>
      </c>
      <c r="E6" s="153" t="s">
        <v>830</v>
      </c>
      <c r="F6" s="141" t="str">
        <f t="shared" si="2"/>
        <v>Prihodi iz nadležnog proračuna za financiranje redovne djelatnosti proračunskih korisnika</v>
      </c>
      <c r="G6" s="198">
        <v>29270845</v>
      </c>
      <c r="H6" s="198">
        <v>30687939</v>
      </c>
      <c r="I6" s="198">
        <v>30792013</v>
      </c>
      <c r="K6" s="144" t="str">
        <f t="shared" si="3"/>
        <v>671</v>
      </c>
      <c r="L6" s="144" t="str">
        <f t="shared" si="4"/>
        <v>67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31</v>
      </c>
      <c r="D7" s="140" t="str">
        <f t="shared" si="1"/>
        <v>Vlastiti prihodi</v>
      </c>
      <c r="E7" s="153">
        <v>6614</v>
      </c>
      <c r="F7" s="141" t="str">
        <f t="shared" si="2"/>
        <v>Prihodi od prodaje proizvoda i robe</v>
      </c>
      <c r="G7" s="198">
        <v>66000</v>
      </c>
      <c r="H7" s="198">
        <v>68000</v>
      </c>
      <c r="I7" s="198">
        <v>70000</v>
      </c>
      <c r="K7" s="144" t="str">
        <f t="shared" si="3"/>
        <v>661</v>
      </c>
      <c r="L7" s="144" t="str">
        <f t="shared" si="4"/>
        <v>66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31</v>
      </c>
      <c r="D8" s="140" t="str">
        <f t="shared" si="1"/>
        <v>Vlastiti prihodi</v>
      </c>
      <c r="E8" s="153">
        <v>6615</v>
      </c>
      <c r="F8" s="141" t="str">
        <f t="shared" si="2"/>
        <v>Prihodi od pruženih usluga</v>
      </c>
      <c r="G8" s="198">
        <v>6684000</v>
      </c>
      <c r="H8" s="198">
        <v>6782000</v>
      </c>
      <c r="I8" s="198">
        <v>6820000</v>
      </c>
      <c r="K8" s="144" t="str">
        <f t="shared" si="3"/>
        <v>661</v>
      </c>
      <c r="L8" s="144" t="str">
        <f t="shared" si="4"/>
        <v>66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08006</v>
      </c>
      <c r="B9" s="142" t="str">
        <f>IF(E9="","",VLOOKUP('Opći dio'!$C$3,'Opći dio'!$L$6:$U$135,9,FALSE))</f>
        <v>Sveučilišta i veleučilišta u Republici Hrvatskoj</v>
      </c>
      <c r="C9" s="202">
        <f t="shared" si="0"/>
        <v>43</v>
      </c>
      <c r="D9" s="140" t="str">
        <f t="shared" si="1"/>
        <v>Ostali prihodi za posebne namjene</v>
      </c>
      <c r="E9" s="153">
        <v>65268</v>
      </c>
      <c r="F9" s="141" t="str">
        <f t="shared" si="2"/>
        <v>Ostali prihodi za posebne namjene</v>
      </c>
      <c r="G9" s="198">
        <v>679208</v>
      </c>
      <c r="H9" s="198">
        <v>233189</v>
      </c>
      <c r="I9" s="198">
        <v>120300</v>
      </c>
      <c r="K9" s="144" t="str">
        <f t="shared" si="3"/>
        <v>652</v>
      </c>
      <c r="L9" s="144" t="str">
        <f t="shared" si="4"/>
        <v>65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08006</v>
      </c>
      <c r="B10" s="142" t="str">
        <f>IF(E10="","",VLOOKUP('Opći dio'!$C$3,'Opći dio'!$L$6:$U$135,9,FALSE))</f>
        <v>Sveučilišta i veleučilišta u Republici Hrvatskoj</v>
      </c>
      <c r="C10" s="202">
        <f t="shared" si="0"/>
        <v>43</v>
      </c>
      <c r="D10" s="140" t="str">
        <f t="shared" si="1"/>
        <v>Ostali prihodi za posebne namjene</v>
      </c>
      <c r="E10" s="153">
        <v>65264</v>
      </c>
      <c r="F10" s="141" t="str">
        <f t="shared" si="2"/>
        <v>Sufinanciranje cijene usluge, participacije i slično</v>
      </c>
      <c r="G10" s="198">
        <v>1850000</v>
      </c>
      <c r="H10" s="198">
        <v>1850000</v>
      </c>
      <c r="I10" s="198">
        <v>1800000</v>
      </c>
      <c r="K10" s="144" t="str">
        <f t="shared" si="3"/>
        <v>652</v>
      </c>
      <c r="L10" s="144" t="str">
        <f t="shared" si="4"/>
        <v>65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>08006</v>
      </c>
      <c r="B11" s="142" t="str">
        <f>IF(E11="","",VLOOKUP('Opći dio'!$C$3,'Opći dio'!$L$6:$U$135,9,FALSE))</f>
        <v>Sveučilišta i veleučilišta u Republici Hrvatskoj</v>
      </c>
      <c r="C11" s="202">
        <f t="shared" si="0"/>
        <v>51</v>
      </c>
      <c r="D11" s="140" t="str">
        <f t="shared" si="1"/>
        <v>Pomoći EU</v>
      </c>
      <c r="E11" s="153">
        <v>632311600</v>
      </c>
      <c r="F11" s="141" t="str">
        <f t="shared" si="2"/>
        <v>Tekuće pomoći od institucija i tijela EU - IPARD</v>
      </c>
      <c r="G11" s="198">
        <v>6716935</v>
      </c>
      <c r="H11" s="198">
        <v>1970967</v>
      </c>
      <c r="I11" s="198">
        <v>72000</v>
      </c>
      <c r="K11" s="144" t="str">
        <f t="shared" si="3"/>
        <v>632</v>
      </c>
      <c r="L11" s="144" t="str">
        <f t="shared" si="4"/>
        <v>63</v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>08006</v>
      </c>
      <c r="B12" s="142" t="str">
        <f>IF(E12="","",VLOOKUP('Opći dio'!$C$3,'Opći dio'!$L$6:$U$135,9,FALSE))</f>
        <v>Sveučilišta i veleučilišta u Republici Hrvatskoj</v>
      </c>
      <c r="C12" s="202">
        <f t="shared" si="0"/>
        <v>52</v>
      </c>
      <c r="D12" s="140" t="str">
        <f t="shared" si="1"/>
        <v>Ostale pomoći</v>
      </c>
      <c r="E12" s="153">
        <v>6393</v>
      </c>
      <c r="F12" s="141" t="str">
        <f t="shared" si="2"/>
        <v>Tekući prijenosi između proračunskih korisnika istog proračuna temeljem prijenosa EU sredstava</v>
      </c>
      <c r="G12" s="198">
        <v>530658</v>
      </c>
      <c r="H12" s="198">
        <v>546871</v>
      </c>
      <c r="I12" s="198">
        <v>598207</v>
      </c>
      <c r="K12" s="144" t="str">
        <f t="shared" si="3"/>
        <v>639</v>
      </c>
      <c r="L12" s="144" t="str">
        <f t="shared" si="4"/>
        <v>63</v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>08006</v>
      </c>
      <c r="B13" s="142" t="str">
        <f>IF(E13="","",VLOOKUP('Opći dio'!$C$3,'Opći dio'!$L$6:$U$135,9,FALSE))</f>
        <v>Sveučilišta i veleučilišta u Republici Hrvatskoj</v>
      </c>
      <c r="C13" s="202">
        <f t="shared" si="0"/>
        <v>563</v>
      </c>
      <c r="D13" s="140" t="str">
        <f t="shared" si="1"/>
        <v>Europski fond za regionalni razvoj (ERDF)</v>
      </c>
      <c r="E13" s="153">
        <v>632310563</v>
      </c>
      <c r="F13" s="141" t="str">
        <f t="shared" si="2"/>
        <v>Tekuće pomoći od institucija i tijela EU - ERDF</v>
      </c>
      <c r="G13" s="198">
        <v>54441021</v>
      </c>
      <c r="H13" s="198">
        <v>107586</v>
      </c>
      <c r="I13" s="198">
        <v>0</v>
      </c>
      <c r="K13" s="144" t="str">
        <f t="shared" si="3"/>
        <v>632</v>
      </c>
      <c r="L13" s="144" t="str">
        <f t="shared" si="4"/>
        <v>63</v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>08006</v>
      </c>
      <c r="B14" s="142" t="str">
        <f>IF(E14="","",VLOOKUP('Opći dio'!$C$3,'Opći dio'!$L$6:$U$135,9,FALSE))</f>
        <v>Sveučilišta i veleučilišta u Republici Hrvatskoj</v>
      </c>
      <c r="C14" s="202">
        <f t="shared" si="0"/>
        <v>12</v>
      </c>
      <c r="D14" s="140" t="str">
        <f t="shared" si="1"/>
        <v>Sredstva učešća za pomoći</v>
      </c>
      <c r="E14" s="153" t="s">
        <v>831</v>
      </c>
      <c r="F14" s="141" t="str">
        <f t="shared" si="2"/>
        <v>Prihodi iz nadležnog proračuna za financiranje redovne djelatnosti proračunskih korisnika</v>
      </c>
      <c r="G14" s="198">
        <v>9607239</v>
      </c>
      <c r="H14" s="198">
        <v>18986</v>
      </c>
      <c r="I14" s="198">
        <v>0</v>
      </c>
      <c r="K14" s="144" t="str">
        <f t="shared" si="3"/>
        <v>671</v>
      </c>
      <c r="L14" s="144" t="str">
        <f t="shared" si="4"/>
        <v>67</v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zoomScaleNormal="100" workbookViewId="0">
      <pane ySplit="2" topLeftCell="A70" activePane="bottomLeft" state="frozen"/>
      <selection pane="bottomLeft" activeCell="K93" sqref="K93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4" t="s">
        <v>811</v>
      </c>
      <c r="B1" s="264"/>
      <c r="C1" s="264"/>
      <c r="D1" s="264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71</v>
      </c>
      <c r="D3" s="149" t="str">
        <f>IFERROR(VLOOKUP(C3,$O$6:$P$16,2,FALSE),"")</f>
        <v>Prihodi od nefin. imovine i nadoknade štete s osnova osig.</v>
      </c>
      <c r="E3" s="154">
        <v>3224</v>
      </c>
      <c r="F3" s="149" t="str">
        <f t="shared" ref="F3:F66" si="0">IFERROR(VLOOKUP(E3,$R$5:$T$129,2,FALSE),"")</f>
        <v>Materijal i dijelovi za tekuće i investicijsko održavanje</v>
      </c>
      <c r="G3" s="201" t="s">
        <v>200</v>
      </c>
      <c r="H3" s="149" t="str">
        <f>IFERROR(VLOOKUP(G3,$X$6:$Y$50,2,FALSE),"")</f>
        <v>REDOVNA DJELATNOST SVEUČILIŠTA U SPLITU (IZ EVIDENCIJSKIH PRIHODA)</v>
      </c>
      <c r="I3" s="198">
        <v>4500</v>
      </c>
      <c r="J3" s="198">
        <v>4500</v>
      </c>
      <c r="K3" s="198">
        <v>4500</v>
      </c>
      <c r="M3" s="144" t="str">
        <f>LEFT(E3,3)</f>
        <v>322</v>
      </c>
      <c r="N3" s="144" t="str">
        <f>LEFT(E3,2)</f>
        <v>32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61</v>
      </c>
      <c r="D4" s="149" t="str">
        <f t="shared" ref="D4:D67" si="1">IFERROR(VLOOKUP(C4,$O$6:$P$16,2,FALSE),"")</f>
        <v>Donacije</v>
      </c>
      <c r="E4" s="154">
        <v>3111</v>
      </c>
      <c r="F4" s="149" t="str">
        <f t="shared" si="0"/>
        <v>Plaće za redovan rad</v>
      </c>
      <c r="G4" s="201" t="s">
        <v>200</v>
      </c>
      <c r="H4" s="149" t="str">
        <f t="shared" ref="H4:H67" si="2">IFERROR(VLOOKUP(G4,$X$6:$Y$50,2,FALSE),"")</f>
        <v>REDOVNA DJELATNOST SVEUČILIŠTA U SPLITU (IZ EVIDENCIJSKIH PRIHODA)</v>
      </c>
      <c r="I4" s="198">
        <v>111480</v>
      </c>
      <c r="J4" s="198">
        <v>80823</v>
      </c>
      <c r="K4" s="198"/>
      <c r="M4" s="144" t="str">
        <f t="shared" ref="M4:M67" si="3">LEFT(E4,3)</f>
        <v>311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61</v>
      </c>
      <c r="D5" s="149" t="str">
        <f t="shared" si="1"/>
        <v>Donacije</v>
      </c>
      <c r="E5" s="154">
        <v>3132</v>
      </c>
      <c r="F5" s="149" t="str">
        <f t="shared" si="0"/>
        <v>Doprinosi za obvezno zdravstveno osiguranje</v>
      </c>
      <c r="G5" s="201" t="s">
        <v>200</v>
      </c>
      <c r="H5" s="149" t="str">
        <f t="shared" si="2"/>
        <v>REDOVNA DJELATNOST SVEUČILIŠTA U SPLITU (IZ EVIDENCIJSKIH PRIHODA)</v>
      </c>
      <c r="I5" s="198">
        <v>18394</v>
      </c>
      <c r="J5" s="198">
        <v>13336</v>
      </c>
      <c r="K5" s="198"/>
      <c r="M5" s="144" t="str">
        <f t="shared" si="3"/>
        <v>313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61</v>
      </c>
      <c r="D6" s="149" t="str">
        <f t="shared" si="1"/>
        <v>Donacije</v>
      </c>
      <c r="E6" s="154">
        <v>3121</v>
      </c>
      <c r="F6" s="149" t="str">
        <f t="shared" si="0"/>
        <v>Ostali rashodi za zaposlene</v>
      </c>
      <c r="G6" s="201" t="s">
        <v>200</v>
      </c>
      <c r="H6" s="149" t="str">
        <f t="shared" si="2"/>
        <v>REDOVNA DJELATNOST SVEUČILIŠTA U SPLITU (IZ EVIDENCIJSKIH PRIHODA)</v>
      </c>
      <c r="I6" s="198">
        <v>2500</v>
      </c>
      <c r="J6" s="198">
        <v>1250</v>
      </c>
      <c r="K6" s="198"/>
      <c r="M6" s="144" t="str">
        <f t="shared" si="3"/>
        <v>312</v>
      </c>
      <c r="N6" s="144" t="str">
        <f t="shared" si="4"/>
        <v>31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61</v>
      </c>
      <c r="D7" s="149" t="str">
        <f t="shared" si="1"/>
        <v>Donacije</v>
      </c>
      <c r="E7" s="154">
        <v>3212</v>
      </c>
      <c r="F7" s="149" t="str">
        <f t="shared" si="0"/>
        <v>Naknade za prijevoz, za rad na terenu i odvojeni život</v>
      </c>
      <c r="G7" s="201" t="s">
        <v>200</v>
      </c>
      <c r="H7" s="149" t="str">
        <f t="shared" si="2"/>
        <v>REDOVNA DJELATNOST SVEUČILIŠTA U SPLITU (IZ EVIDENCIJSKIH PRIHODA)</v>
      </c>
      <c r="I7" s="198">
        <v>5060</v>
      </c>
      <c r="J7" s="198">
        <v>3680</v>
      </c>
      <c r="K7" s="198"/>
      <c r="M7" s="144" t="str">
        <f t="shared" si="3"/>
        <v>321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61</v>
      </c>
      <c r="D8" s="149" t="str">
        <f t="shared" si="1"/>
        <v>Donacije</v>
      </c>
      <c r="E8" s="154">
        <v>3239</v>
      </c>
      <c r="F8" s="149" t="str">
        <f t="shared" si="0"/>
        <v>Ostale usluge</v>
      </c>
      <c r="G8" s="201" t="s">
        <v>200</v>
      </c>
      <c r="H8" s="149" t="str">
        <f t="shared" si="2"/>
        <v>REDOVNA DJELATNOST SVEUČILIŠTA U SPLITU (IZ EVIDENCIJSKIH PRIHODA)</v>
      </c>
      <c r="I8" s="198">
        <v>10000</v>
      </c>
      <c r="J8" s="198">
        <v>0</v>
      </c>
      <c r="K8" s="198"/>
      <c r="M8" s="144" t="str">
        <f t="shared" si="3"/>
        <v>323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61</v>
      </c>
      <c r="D9" s="149" t="str">
        <f t="shared" si="1"/>
        <v>Donacije</v>
      </c>
      <c r="E9" s="154">
        <v>3232</v>
      </c>
      <c r="F9" s="149" t="str">
        <f t="shared" si="0"/>
        <v>Usluge tekućeg i investicijskog održavanja</v>
      </c>
      <c r="G9" s="201" t="s">
        <v>200</v>
      </c>
      <c r="H9" s="149" t="str">
        <f t="shared" si="2"/>
        <v>REDOVNA DJELATNOST SVEUČILIŠTA U SPLITU (IZ EVIDENCIJSKIH PRIHODA)</v>
      </c>
      <c r="I9" s="198">
        <v>50000</v>
      </c>
      <c r="J9" s="198">
        <v>50911</v>
      </c>
      <c r="K9" s="198">
        <v>80000</v>
      </c>
      <c r="M9" s="144" t="str">
        <f t="shared" si="3"/>
        <v>323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11</v>
      </c>
      <c r="D10" s="149" t="str">
        <f t="shared" si="1"/>
        <v>Opći prihodi i primici</v>
      </c>
      <c r="E10" s="154">
        <v>3111</v>
      </c>
      <c r="F10" s="149" t="str">
        <f t="shared" si="0"/>
        <v>Plaće za redovan rad</v>
      </c>
      <c r="G10" s="201" t="s">
        <v>82</v>
      </c>
      <c r="H10" s="149" t="str">
        <f t="shared" si="2"/>
        <v>REDOVNA DJELATNOST SVEUČILIŠTA U SPLITU</v>
      </c>
      <c r="I10" s="198">
        <v>21444504</v>
      </c>
      <c r="J10" s="198">
        <v>22382763</v>
      </c>
      <c r="K10" s="198">
        <v>22410263</v>
      </c>
      <c r="M10" s="144" t="str">
        <f t="shared" si="3"/>
        <v>311</v>
      </c>
      <c r="N10" s="144" t="str">
        <f t="shared" si="4"/>
        <v>31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11</v>
      </c>
      <c r="D11" s="149" t="str">
        <f t="shared" si="1"/>
        <v>Opći prihodi i primici</v>
      </c>
      <c r="E11" s="154">
        <v>3121</v>
      </c>
      <c r="F11" s="149" t="str">
        <f t="shared" si="0"/>
        <v>Ostali rashodi za zaposlene</v>
      </c>
      <c r="G11" s="201" t="s">
        <v>82</v>
      </c>
      <c r="H11" s="149" t="str">
        <f t="shared" si="2"/>
        <v>REDOVNA DJELATNOST SVEUČILIŠTA U SPLITU</v>
      </c>
      <c r="I11" s="198">
        <v>679449</v>
      </c>
      <c r="J11" s="198">
        <v>694512</v>
      </c>
      <c r="K11" s="198">
        <v>700916</v>
      </c>
      <c r="M11" s="144" t="str">
        <f t="shared" si="3"/>
        <v>312</v>
      </c>
      <c r="N11" s="144" t="str">
        <f t="shared" si="4"/>
        <v>31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11</v>
      </c>
      <c r="D12" s="149" t="str">
        <f t="shared" si="1"/>
        <v>Opći prihodi i primici</v>
      </c>
      <c r="E12" s="154">
        <v>3132</v>
      </c>
      <c r="F12" s="149" t="str">
        <f t="shared" si="0"/>
        <v>Doprinosi za obvezno zdravstveno osiguranje</v>
      </c>
      <c r="G12" s="201" t="s">
        <v>82</v>
      </c>
      <c r="H12" s="149" t="str">
        <f t="shared" si="2"/>
        <v>REDOVNA DJELATNOST SVEUČILIŠTA U SPLITU</v>
      </c>
      <c r="I12" s="198">
        <v>3399952</v>
      </c>
      <c r="J12" s="198">
        <v>3475329</v>
      </c>
      <c r="K12" s="198">
        <v>3507371</v>
      </c>
      <c r="M12" s="144" t="str">
        <f t="shared" si="3"/>
        <v>313</v>
      </c>
      <c r="N12" s="144" t="str">
        <f t="shared" si="4"/>
        <v>31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11</v>
      </c>
      <c r="D13" s="149" t="str">
        <f t="shared" si="1"/>
        <v>Opći prihodi i primici</v>
      </c>
      <c r="E13" s="154">
        <v>3212</v>
      </c>
      <c r="F13" s="149" t="str">
        <f t="shared" si="0"/>
        <v>Naknade za prijevoz, za rad na terenu i odvojeni život</v>
      </c>
      <c r="G13" s="201" t="s">
        <v>82</v>
      </c>
      <c r="H13" s="149" t="str">
        <f t="shared" si="2"/>
        <v>REDOVNA DJELATNOST SVEUČILIŠTA U SPLITU</v>
      </c>
      <c r="I13" s="198">
        <v>277329</v>
      </c>
      <c r="J13" s="198">
        <v>283477</v>
      </c>
      <c r="K13" s="198">
        <v>286092</v>
      </c>
      <c r="M13" s="144" t="str">
        <f t="shared" si="3"/>
        <v>321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11</v>
      </c>
      <c r="D14" s="149" t="str">
        <f t="shared" si="1"/>
        <v>Opći prihodi i primici</v>
      </c>
      <c r="E14" s="154">
        <v>3236</v>
      </c>
      <c r="F14" s="149" t="str">
        <f t="shared" si="0"/>
        <v>Zdravstvene i veterinarske usluge</v>
      </c>
      <c r="G14" s="201" t="s">
        <v>82</v>
      </c>
      <c r="H14" s="149" t="str">
        <f t="shared" si="2"/>
        <v>REDOVNA DJELATNOST SVEUČILIŠTA U SPLITU</v>
      </c>
      <c r="I14" s="198">
        <v>23500</v>
      </c>
      <c r="J14" s="198">
        <v>24021</v>
      </c>
      <c r="K14" s="198">
        <v>24242</v>
      </c>
      <c r="M14" s="144" t="str">
        <f t="shared" si="3"/>
        <v>323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11</v>
      </c>
      <c r="D15" s="149" t="str">
        <f t="shared" si="1"/>
        <v>Opći prihodi i primici</v>
      </c>
      <c r="E15" s="154">
        <v>3295</v>
      </c>
      <c r="F15" s="149" t="str">
        <f t="shared" si="0"/>
        <v>Pristojbe i naknade</v>
      </c>
      <c r="G15" s="201" t="s">
        <v>82</v>
      </c>
      <c r="H15" s="149" t="str">
        <f t="shared" si="2"/>
        <v>REDOVNA DJELATNOST SVEUČILIŠTA U SPLITU</v>
      </c>
      <c r="I15" s="198">
        <v>54000</v>
      </c>
      <c r="J15" s="198">
        <v>55197</v>
      </c>
      <c r="K15" s="198">
        <v>55706</v>
      </c>
      <c r="M15" s="144" t="str">
        <f t="shared" si="3"/>
        <v>329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11</v>
      </c>
      <c r="D16" s="149" t="str">
        <f t="shared" si="1"/>
        <v>Opći prihodi i primici</v>
      </c>
      <c r="E16" s="154">
        <v>3211</v>
      </c>
      <c r="F16" s="149" t="str">
        <f t="shared" si="0"/>
        <v>Službena putovanja</v>
      </c>
      <c r="G16" s="201" t="s">
        <v>864</v>
      </c>
      <c r="H16" s="149" t="str">
        <f t="shared" si="2"/>
        <v>PROGRAMSKO FINANCIRANJE JAVNIH VISOKIH UČILIŠTA</v>
      </c>
      <c r="I16" s="198">
        <v>292500</v>
      </c>
      <c r="J16" s="198">
        <v>298984</v>
      </c>
      <c r="K16" s="198">
        <v>301743</v>
      </c>
      <c r="M16" s="144" t="str">
        <f t="shared" si="3"/>
        <v>321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11</v>
      </c>
      <c r="D17" s="149" t="str">
        <f t="shared" si="1"/>
        <v>Opći prihodi i primici</v>
      </c>
      <c r="E17" s="154">
        <v>3213</v>
      </c>
      <c r="F17" s="149" t="str">
        <f t="shared" si="0"/>
        <v>Stručno usavršavanje zaposlenika</v>
      </c>
      <c r="G17" s="201" t="s">
        <v>864</v>
      </c>
      <c r="H17" s="149" t="str">
        <f t="shared" si="2"/>
        <v>PROGRAMSKO FINANCIRANJE JAVNIH VISOKIH UČILIŠTA</v>
      </c>
      <c r="I17" s="198">
        <v>140500</v>
      </c>
      <c r="J17" s="198">
        <v>143615</v>
      </c>
      <c r="K17" s="198">
        <v>144937</v>
      </c>
      <c r="M17" s="144" t="str">
        <f t="shared" si="3"/>
        <v>321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11</v>
      </c>
      <c r="D18" s="149" t="str">
        <f t="shared" si="1"/>
        <v>Opći prihodi i primici</v>
      </c>
      <c r="E18" s="154">
        <v>3214</v>
      </c>
      <c r="F18" s="149" t="str">
        <f t="shared" si="0"/>
        <v>Ostale naknade troškova zaposlenima</v>
      </c>
      <c r="G18" s="201" t="s">
        <v>864</v>
      </c>
      <c r="H18" s="149" t="str">
        <f t="shared" si="2"/>
        <v>PROGRAMSKO FINANCIRANJE JAVNIH VISOKIH UČILIŠTA</v>
      </c>
      <c r="I18" s="198">
        <v>80300</v>
      </c>
      <c r="J18" s="198">
        <v>82080</v>
      </c>
      <c r="K18" s="198">
        <v>82826</v>
      </c>
      <c r="M18" s="144" t="str">
        <f t="shared" si="3"/>
        <v>321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11</v>
      </c>
      <c r="D19" s="149" t="str">
        <f t="shared" si="1"/>
        <v>Opći prihodi i primici</v>
      </c>
      <c r="E19" s="154">
        <v>3221</v>
      </c>
      <c r="F19" s="149" t="str">
        <f t="shared" si="0"/>
        <v>Uredski materijal i ostali materijalni rashodi</v>
      </c>
      <c r="G19" s="201" t="s">
        <v>864</v>
      </c>
      <c r="H19" s="149" t="str">
        <f t="shared" si="2"/>
        <v>PROGRAMSKO FINANCIRANJE JAVNIH VISOKIH UČILIŠTA</v>
      </c>
      <c r="I19" s="198">
        <v>250000</v>
      </c>
      <c r="J19" s="198">
        <v>255542</v>
      </c>
      <c r="K19" s="198">
        <v>257898</v>
      </c>
      <c r="M19" s="144" t="str">
        <f t="shared" si="3"/>
        <v>322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11</v>
      </c>
      <c r="D20" s="149" t="str">
        <f t="shared" si="1"/>
        <v>Opći prihodi i primici</v>
      </c>
      <c r="E20" s="154">
        <v>3223</v>
      </c>
      <c r="F20" s="149" t="str">
        <f t="shared" si="0"/>
        <v>Energija</v>
      </c>
      <c r="G20" s="201" t="s">
        <v>864</v>
      </c>
      <c r="H20" s="149" t="str">
        <f t="shared" si="2"/>
        <v>PROGRAMSKO FINANCIRANJE JAVNIH VISOKIH UČILIŠTA</v>
      </c>
      <c r="I20" s="198">
        <v>351000</v>
      </c>
      <c r="J20" s="198">
        <v>358782</v>
      </c>
      <c r="K20" s="198">
        <v>362090</v>
      </c>
      <c r="M20" s="144" t="str">
        <f t="shared" si="3"/>
        <v>322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11</v>
      </c>
      <c r="D21" s="149" t="str">
        <f t="shared" si="1"/>
        <v>Opći prihodi i primici</v>
      </c>
      <c r="E21" s="154">
        <v>3224</v>
      </c>
      <c r="F21" s="149" t="str">
        <f t="shared" si="0"/>
        <v>Materijal i dijelovi za tekuće i investicijsko održavanje</v>
      </c>
      <c r="G21" s="201" t="s">
        <v>864</v>
      </c>
      <c r="H21" s="149" t="str">
        <f t="shared" si="2"/>
        <v>PROGRAMSKO FINANCIRANJE JAVNIH VISOKIH UČILIŠTA</v>
      </c>
      <c r="I21" s="198">
        <v>112300</v>
      </c>
      <c r="J21" s="198">
        <v>114791</v>
      </c>
      <c r="K21" s="198">
        <v>115855</v>
      </c>
      <c r="M21" s="144" t="str">
        <f t="shared" si="3"/>
        <v>322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11</v>
      </c>
      <c r="D22" s="149" t="str">
        <f t="shared" si="1"/>
        <v>Opći prihodi i primici</v>
      </c>
      <c r="E22" s="154">
        <v>3225</v>
      </c>
      <c r="F22" s="149" t="str">
        <f t="shared" si="0"/>
        <v>Sitni inventar i auto gume</v>
      </c>
      <c r="G22" s="201" t="s">
        <v>864</v>
      </c>
      <c r="H22" s="149" t="str">
        <f t="shared" si="2"/>
        <v>PROGRAMSKO FINANCIRANJE JAVNIH VISOKIH UČILIŠTA</v>
      </c>
      <c r="I22" s="198">
        <v>103000</v>
      </c>
      <c r="J22" s="198">
        <v>105284</v>
      </c>
      <c r="K22" s="198">
        <v>106253</v>
      </c>
      <c r="M22" s="144" t="str">
        <f t="shared" si="3"/>
        <v>322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11</v>
      </c>
      <c r="D23" s="149" t="str">
        <f t="shared" si="1"/>
        <v>Opći prihodi i primici</v>
      </c>
      <c r="E23" s="154">
        <v>3227</v>
      </c>
      <c r="F23" s="149" t="str">
        <f t="shared" si="0"/>
        <v>Službena, radna i zaštitna odjeća i obuća</v>
      </c>
      <c r="G23" s="201" t="s">
        <v>864</v>
      </c>
      <c r="H23" s="149" t="str">
        <f t="shared" si="2"/>
        <v>PROGRAMSKO FINANCIRANJE JAVNIH VISOKIH UČILIŠTA</v>
      </c>
      <c r="I23" s="198">
        <v>4000</v>
      </c>
      <c r="J23" s="198">
        <v>4089</v>
      </c>
      <c r="K23" s="198">
        <v>4127</v>
      </c>
      <c r="M23" s="144" t="str">
        <f t="shared" si="3"/>
        <v>322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11</v>
      </c>
      <c r="D24" s="149" t="str">
        <f t="shared" si="1"/>
        <v>Opći prihodi i primici</v>
      </c>
      <c r="E24" s="154">
        <v>3231</v>
      </c>
      <c r="F24" s="149" t="str">
        <f t="shared" si="0"/>
        <v>Usluge telefona, pošte i prijevoza</v>
      </c>
      <c r="G24" s="201" t="s">
        <v>864</v>
      </c>
      <c r="H24" s="149" t="str">
        <f t="shared" si="2"/>
        <v>PROGRAMSKO FINANCIRANJE JAVNIH VISOKIH UČILIŠTA</v>
      </c>
      <c r="I24" s="198">
        <v>103900</v>
      </c>
      <c r="J24" s="198">
        <v>106203</v>
      </c>
      <c r="K24" s="198">
        <v>107187</v>
      </c>
      <c r="M24" s="144" t="str">
        <f t="shared" si="3"/>
        <v>323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11</v>
      </c>
      <c r="D25" s="149" t="str">
        <f t="shared" si="1"/>
        <v>Opći prihodi i primici</v>
      </c>
      <c r="E25" s="154">
        <v>3232</v>
      </c>
      <c r="F25" s="149" t="str">
        <f t="shared" si="0"/>
        <v>Usluge tekućeg i investicijskog održavanja</v>
      </c>
      <c r="G25" s="201" t="s">
        <v>864</v>
      </c>
      <c r="H25" s="149" t="str">
        <f t="shared" si="2"/>
        <v>PROGRAMSKO FINANCIRANJE JAVNIH VISOKIH UČILIŠTA</v>
      </c>
      <c r="I25" s="198">
        <v>205394</v>
      </c>
      <c r="J25" s="198">
        <v>209948</v>
      </c>
      <c r="K25" s="198">
        <v>211883</v>
      </c>
      <c r="M25" s="144" t="str">
        <f t="shared" si="3"/>
        <v>323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11</v>
      </c>
      <c r="D26" s="149" t="str">
        <f t="shared" si="1"/>
        <v>Opći prihodi i primici</v>
      </c>
      <c r="E26" s="154">
        <v>3233</v>
      </c>
      <c r="F26" s="149" t="str">
        <f t="shared" si="0"/>
        <v>Usluge promidžbe i informiranja</v>
      </c>
      <c r="G26" s="201" t="s">
        <v>864</v>
      </c>
      <c r="H26" s="149" t="str">
        <f t="shared" si="2"/>
        <v>PROGRAMSKO FINANCIRANJE JAVNIH VISOKIH UČILIŠTA</v>
      </c>
      <c r="I26" s="198">
        <v>31300</v>
      </c>
      <c r="J26" s="198">
        <v>31994</v>
      </c>
      <c r="K26" s="198">
        <v>32290</v>
      </c>
      <c r="M26" s="144" t="str">
        <f t="shared" si="3"/>
        <v>323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11</v>
      </c>
      <c r="D27" s="149" t="str">
        <f t="shared" si="1"/>
        <v>Opći prihodi i primici</v>
      </c>
      <c r="E27" s="154">
        <v>3234</v>
      </c>
      <c r="F27" s="149" t="str">
        <f t="shared" si="0"/>
        <v>Komunalne usluge</v>
      </c>
      <c r="G27" s="201" t="s">
        <v>864</v>
      </c>
      <c r="H27" s="149" t="str">
        <f t="shared" si="2"/>
        <v>PROGRAMSKO FINANCIRANJE JAVNIH VISOKIH UČILIŠTA</v>
      </c>
      <c r="I27" s="198">
        <v>94800</v>
      </c>
      <c r="J27" s="198">
        <v>96902</v>
      </c>
      <c r="K27" s="198">
        <v>97795</v>
      </c>
      <c r="M27" s="144" t="str">
        <f t="shared" si="3"/>
        <v>323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11</v>
      </c>
      <c r="D28" s="149" t="str">
        <f t="shared" si="1"/>
        <v>Opći prihodi i primici</v>
      </c>
      <c r="E28" s="154">
        <v>3235</v>
      </c>
      <c r="F28" s="149" t="str">
        <f t="shared" si="0"/>
        <v>Zakupnine i najamnine</v>
      </c>
      <c r="G28" s="201" t="s">
        <v>864</v>
      </c>
      <c r="H28" s="149" t="str">
        <f t="shared" si="2"/>
        <v>PROGRAMSKO FINANCIRANJE JAVNIH VISOKIH UČILIŠTA</v>
      </c>
      <c r="I28" s="198">
        <v>64800</v>
      </c>
      <c r="J28" s="198">
        <v>66236</v>
      </c>
      <c r="K28" s="198">
        <v>66847</v>
      </c>
      <c r="M28" s="144" t="str">
        <f t="shared" si="3"/>
        <v>323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11</v>
      </c>
      <c r="D29" s="149" t="str">
        <f t="shared" si="1"/>
        <v>Opći prihodi i primici</v>
      </c>
      <c r="E29" s="154">
        <v>3237</v>
      </c>
      <c r="F29" s="149" t="str">
        <f t="shared" si="0"/>
        <v>Intelektualne i osobne usluge</v>
      </c>
      <c r="G29" s="201" t="s">
        <v>864</v>
      </c>
      <c r="H29" s="149" t="str">
        <f t="shared" si="2"/>
        <v>PROGRAMSKO FINANCIRANJE JAVNIH VISOKIH UČILIŠTA</v>
      </c>
      <c r="I29" s="198">
        <v>832062</v>
      </c>
      <c r="J29" s="198">
        <v>1155834</v>
      </c>
      <c r="K29" s="198">
        <v>1166491</v>
      </c>
      <c r="M29" s="144" t="str">
        <f t="shared" si="3"/>
        <v>323</v>
      </c>
      <c r="N29" s="144" t="str">
        <f t="shared" si="4"/>
        <v>32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11</v>
      </c>
      <c r="D30" s="149" t="str">
        <f t="shared" si="1"/>
        <v>Opći prihodi i primici</v>
      </c>
      <c r="E30" s="154">
        <v>3238</v>
      </c>
      <c r="F30" s="149" t="str">
        <f t="shared" si="0"/>
        <v>Računalne usluge</v>
      </c>
      <c r="G30" s="201" t="s">
        <v>864</v>
      </c>
      <c r="H30" s="149" t="str">
        <f t="shared" si="2"/>
        <v>PROGRAMSKO FINANCIRANJE JAVNIH VISOKIH UČILIŠTA</v>
      </c>
      <c r="I30" s="198">
        <v>59500</v>
      </c>
      <c r="J30" s="198">
        <v>60819</v>
      </c>
      <c r="K30" s="198">
        <v>61379</v>
      </c>
      <c r="M30" s="144" t="str">
        <f t="shared" si="3"/>
        <v>323</v>
      </c>
      <c r="N30" s="144" t="str">
        <f t="shared" si="4"/>
        <v>32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11</v>
      </c>
      <c r="D31" s="149" t="str">
        <f t="shared" si="1"/>
        <v>Opći prihodi i primici</v>
      </c>
      <c r="E31" s="154">
        <v>3239</v>
      </c>
      <c r="F31" s="149" t="str">
        <f t="shared" si="0"/>
        <v>Ostale usluge</v>
      </c>
      <c r="G31" s="201" t="s">
        <v>864</v>
      </c>
      <c r="H31" s="149" t="str">
        <f t="shared" si="2"/>
        <v>PROGRAMSKO FINANCIRANJE JAVNIH VISOKIH UČILIŠTA</v>
      </c>
      <c r="I31" s="198">
        <v>140055</v>
      </c>
      <c r="J31" s="198">
        <v>143160</v>
      </c>
      <c r="K31" s="198">
        <v>144480</v>
      </c>
      <c r="M31" s="144" t="str">
        <f t="shared" si="3"/>
        <v>323</v>
      </c>
      <c r="N31" s="144" t="str">
        <f t="shared" si="4"/>
        <v>32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11</v>
      </c>
      <c r="D32" s="149" t="str">
        <f t="shared" si="1"/>
        <v>Opći prihodi i primici</v>
      </c>
      <c r="E32" s="154">
        <v>3241</v>
      </c>
      <c r="F32" s="149" t="str">
        <f t="shared" si="0"/>
        <v>Naknade troškova osobama izvan radnog odnosa</v>
      </c>
      <c r="G32" s="201" t="s">
        <v>864</v>
      </c>
      <c r="H32" s="149" t="str">
        <f t="shared" si="2"/>
        <v>PROGRAMSKO FINANCIRANJE JAVNIH VISOKIH UČILIŠTA</v>
      </c>
      <c r="I32" s="198">
        <v>57200</v>
      </c>
      <c r="J32" s="198">
        <v>58468</v>
      </c>
      <c r="K32" s="198">
        <v>59007</v>
      </c>
      <c r="M32" s="144" t="str">
        <f t="shared" si="3"/>
        <v>324</v>
      </c>
      <c r="N32" s="144" t="str">
        <f t="shared" si="4"/>
        <v>32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11</v>
      </c>
      <c r="D33" s="149" t="str">
        <f t="shared" si="1"/>
        <v>Opći prihodi i primici</v>
      </c>
      <c r="E33" s="154">
        <v>3293</v>
      </c>
      <c r="F33" s="149" t="str">
        <f t="shared" si="0"/>
        <v>Reprezentacija</v>
      </c>
      <c r="G33" s="201" t="s">
        <v>864</v>
      </c>
      <c r="H33" s="149" t="str">
        <f t="shared" si="2"/>
        <v>PROGRAMSKO FINANCIRANJE JAVNIH VISOKIH UČILIŠTA</v>
      </c>
      <c r="I33" s="198">
        <v>23000</v>
      </c>
      <c r="J33" s="198">
        <v>23510</v>
      </c>
      <c r="K33" s="198">
        <v>23727</v>
      </c>
      <c r="M33" s="144" t="str">
        <f t="shared" si="3"/>
        <v>329</v>
      </c>
      <c r="N33" s="144" t="str">
        <f t="shared" si="4"/>
        <v>32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11</v>
      </c>
      <c r="D34" s="149" t="str">
        <f t="shared" si="1"/>
        <v>Opći prihodi i primici</v>
      </c>
      <c r="E34" s="154">
        <v>3294</v>
      </c>
      <c r="F34" s="149" t="str">
        <f t="shared" si="0"/>
        <v>Članarine i norme</v>
      </c>
      <c r="G34" s="201" t="s">
        <v>864</v>
      </c>
      <c r="H34" s="149" t="str">
        <f t="shared" si="2"/>
        <v>PROGRAMSKO FINANCIRANJE JAVNIH VISOKIH UČILIŠTA</v>
      </c>
      <c r="I34" s="198">
        <v>19500</v>
      </c>
      <c r="J34" s="198">
        <v>19931</v>
      </c>
      <c r="K34" s="198">
        <v>20100</v>
      </c>
      <c r="M34" s="144" t="str">
        <f t="shared" si="3"/>
        <v>329</v>
      </c>
      <c r="N34" s="144" t="str">
        <f t="shared" si="4"/>
        <v>32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11</v>
      </c>
      <c r="D35" s="149" t="str">
        <f t="shared" si="1"/>
        <v>Opći prihodi i primici</v>
      </c>
      <c r="E35" s="154">
        <v>3299</v>
      </c>
      <c r="F35" s="149" t="str">
        <f t="shared" si="0"/>
        <v>Ostali nespomenuti rashodi poslovanja</v>
      </c>
      <c r="G35" s="201" t="s">
        <v>864</v>
      </c>
      <c r="H35" s="149" t="str">
        <f t="shared" si="2"/>
        <v>PROGRAMSKO FINANCIRANJE JAVNIH VISOKIH UČILIŠTA</v>
      </c>
      <c r="I35" s="198">
        <v>3500</v>
      </c>
      <c r="J35" s="198">
        <v>3578</v>
      </c>
      <c r="K35" s="198">
        <v>3630</v>
      </c>
      <c r="M35" s="144" t="str">
        <f t="shared" si="3"/>
        <v>329</v>
      </c>
      <c r="N35" s="144" t="str">
        <f t="shared" si="4"/>
        <v>32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11</v>
      </c>
      <c r="D36" s="149" t="str">
        <f t="shared" si="1"/>
        <v>Opći prihodi i primici</v>
      </c>
      <c r="E36" s="154">
        <v>3431</v>
      </c>
      <c r="F36" s="149" t="str">
        <f t="shared" si="0"/>
        <v>Bankarske usluge i usluge platnog prometa</v>
      </c>
      <c r="G36" s="201" t="s">
        <v>864</v>
      </c>
      <c r="H36" s="149" t="str">
        <f t="shared" si="2"/>
        <v>PROGRAMSKO FINANCIRANJE JAVNIH VISOKIH UČILIŠTA</v>
      </c>
      <c r="I36" s="198">
        <v>13500</v>
      </c>
      <c r="J36" s="198">
        <v>13800</v>
      </c>
      <c r="K36" s="198">
        <v>13923</v>
      </c>
      <c r="M36" s="144" t="str">
        <f t="shared" si="3"/>
        <v>343</v>
      </c>
      <c r="N36" s="144" t="str">
        <f t="shared" si="4"/>
        <v>34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11</v>
      </c>
      <c r="D37" s="149" t="str">
        <f t="shared" si="1"/>
        <v>Opći prihodi i primici</v>
      </c>
      <c r="E37" s="154">
        <v>4221</v>
      </c>
      <c r="F37" s="149" t="str">
        <f t="shared" si="0"/>
        <v>Uredska oprema i namještaj</v>
      </c>
      <c r="G37" s="201" t="s">
        <v>864</v>
      </c>
      <c r="H37" s="149" t="str">
        <f t="shared" si="2"/>
        <v>PROGRAMSKO FINANCIRANJE JAVNIH VISOKIH UČILIŠTA</v>
      </c>
      <c r="I37" s="198">
        <v>410000</v>
      </c>
      <c r="J37" s="198">
        <v>419090</v>
      </c>
      <c r="K37" s="198">
        <v>422955</v>
      </c>
      <c r="M37" s="144" t="str">
        <f t="shared" si="3"/>
        <v>422</v>
      </c>
      <c r="N37" s="144" t="str">
        <f t="shared" si="4"/>
        <v>42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31</v>
      </c>
      <c r="D38" s="149" t="str">
        <f t="shared" si="1"/>
        <v>Vlastiti prihodi</v>
      </c>
      <c r="E38" s="154">
        <v>3111</v>
      </c>
      <c r="F38" s="149" t="str">
        <f t="shared" si="0"/>
        <v>Plaće za redovan rad</v>
      </c>
      <c r="G38" s="201" t="s">
        <v>200</v>
      </c>
      <c r="H38" s="149" t="str">
        <f t="shared" si="2"/>
        <v>REDOVNA DJELATNOST SVEUČILIŠTA U SPLITU (IZ EVIDENCIJSKIH PRIHODA)</v>
      </c>
      <c r="I38" s="198">
        <v>570000</v>
      </c>
      <c r="J38" s="198">
        <v>550000</v>
      </c>
      <c r="K38" s="198">
        <v>620000</v>
      </c>
      <c r="M38" s="144" t="str">
        <f t="shared" si="3"/>
        <v>311</v>
      </c>
      <c r="N38" s="144" t="str">
        <f t="shared" si="4"/>
        <v>31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31</v>
      </c>
      <c r="D39" s="149" t="str">
        <f t="shared" si="1"/>
        <v>Vlastiti prihodi</v>
      </c>
      <c r="E39" s="154">
        <v>3121</v>
      </c>
      <c r="F39" s="149" t="str">
        <f t="shared" si="0"/>
        <v>Ostali rashodi za zaposlene</v>
      </c>
      <c r="G39" s="201" t="s">
        <v>200</v>
      </c>
      <c r="H39" s="149" t="str">
        <f t="shared" si="2"/>
        <v>REDOVNA DJELATNOST SVEUČILIŠTA U SPLITU (IZ EVIDENCIJSKIH PRIHODA)</v>
      </c>
      <c r="I39" s="198">
        <v>54000</v>
      </c>
      <c r="J39" s="198">
        <v>52000</v>
      </c>
      <c r="K39" s="198">
        <v>52000</v>
      </c>
      <c r="M39" s="144" t="str">
        <f t="shared" si="3"/>
        <v>312</v>
      </c>
      <c r="N39" s="144" t="str">
        <f t="shared" si="4"/>
        <v>31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31</v>
      </c>
      <c r="D40" s="149" t="str">
        <f t="shared" si="1"/>
        <v>Vlastiti prihodi</v>
      </c>
      <c r="E40" s="154">
        <v>3132</v>
      </c>
      <c r="F40" s="149" t="str">
        <f t="shared" si="0"/>
        <v>Doprinosi za obvezno zdravstveno osiguranje</v>
      </c>
      <c r="G40" s="201" t="s">
        <v>200</v>
      </c>
      <c r="H40" s="149" t="str">
        <f t="shared" si="2"/>
        <v>REDOVNA DJELATNOST SVEUČILIŠTA U SPLITU (IZ EVIDENCIJSKIH PRIHODA)</v>
      </c>
      <c r="I40" s="198">
        <v>94050</v>
      </c>
      <c r="J40" s="198">
        <v>90750</v>
      </c>
      <c r="K40" s="198">
        <v>102300</v>
      </c>
      <c r="M40" s="144" t="str">
        <f t="shared" si="3"/>
        <v>313</v>
      </c>
      <c r="N40" s="144" t="str">
        <f t="shared" si="4"/>
        <v>31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31</v>
      </c>
      <c r="D41" s="149" t="str">
        <f t="shared" si="1"/>
        <v>Vlastiti prihodi</v>
      </c>
      <c r="E41" s="154">
        <v>3211</v>
      </c>
      <c r="F41" s="149" t="str">
        <f t="shared" si="0"/>
        <v>Službena putovanja</v>
      </c>
      <c r="G41" s="201" t="s">
        <v>200</v>
      </c>
      <c r="H41" s="149" t="str">
        <f t="shared" si="2"/>
        <v>REDOVNA DJELATNOST SVEUČILIŠTA U SPLITU (IZ EVIDENCIJSKIH PRIHODA)</v>
      </c>
      <c r="I41" s="198">
        <v>302500</v>
      </c>
      <c r="J41" s="198">
        <v>325800</v>
      </c>
      <c r="K41" s="198">
        <v>364500</v>
      </c>
      <c r="M41" s="144" t="str">
        <f t="shared" si="3"/>
        <v>321</v>
      </c>
      <c r="N41" s="144" t="str">
        <f t="shared" si="4"/>
        <v>32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31</v>
      </c>
      <c r="D42" s="149" t="str">
        <f t="shared" si="1"/>
        <v>Vlastiti prihodi</v>
      </c>
      <c r="E42" s="154">
        <v>3212</v>
      </c>
      <c r="F42" s="149" t="str">
        <f t="shared" si="0"/>
        <v>Naknade za prijevoz, za rad na terenu i odvojeni život</v>
      </c>
      <c r="G42" s="201" t="s">
        <v>200</v>
      </c>
      <c r="H42" s="149" t="str">
        <f t="shared" si="2"/>
        <v>REDOVNA DJELATNOST SVEUČILIŠTA U SPLITU (IZ EVIDENCIJSKIH PRIHODA)</v>
      </c>
      <c r="I42" s="198">
        <v>17400</v>
      </c>
      <c r="J42" s="198">
        <v>13920</v>
      </c>
      <c r="K42" s="198">
        <v>17400</v>
      </c>
      <c r="M42" s="144" t="str">
        <f t="shared" si="3"/>
        <v>321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31</v>
      </c>
      <c r="D43" s="149" t="str">
        <f t="shared" si="1"/>
        <v>Vlastiti prihodi</v>
      </c>
      <c r="E43" s="154">
        <v>3213</v>
      </c>
      <c r="F43" s="149" t="str">
        <f t="shared" si="0"/>
        <v>Stručno usavršavanje zaposlenika</v>
      </c>
      <c r="G43" s="201" t="s">
        <v>200</v>
      </c>
      <c r="H43" s="149" t="str">
        <f t="shared" si="2"/>
        <v>REDOVNA DJELATNOST SVEUČILIŠTA U SPLITU (IZ EVIDENCIJSKIH PRIHODA)</v>
      </c>
      <c r="I43" s="198">
        <v>64000</v>
      </c>
      <c r="J43" s="198">
        <v>94000</v>
      </c>
      <c r="K43" s="198">
        <v>73000</v>
      </c>
      <c r="M43" s="144" t="str">
        <f t="shared" si="3"/>
        <v>321</v>
      </c>
      <c r="N43" s="144" t="str">
        <f t="shared" si="4"/>
        <v>32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31</v>
      </c>
      <c r="D44" s="149" t="str">
        <f t="shared" si="1"/>
        <v>Vlastiti prihodi</v>
      </c>
      <c r="E44" s="154">
        <v>3214</v>
      </c>
      <c r="F44" s="149" t="str">
        <f t="shared" si="0"/>
        <v>Ostale naknade troškova zaposlenima</v>
      </c>
      <c r="G44" s="201" t="s">
        <v>200</v>
      </c>
      <c r="H44" s="149" t="str">
        <f t="shared" si="2"/>
        <v>REDOVNA DJELATNOST SVEUČILIŠTA U SPLITU (IZ EVIDENCIJSKIH PRIHODA)</v>
      </c>
      <c r="I44" s="198">
        <v>105000</v>
      </c>
      <c r="J44" s="198">
        <v>102000</v>
      </c>
      <c r="K44" s="198">
        <v>128000</v>
      </c>
      <c r="M44" s="144" t="str">
        <f t="shared" si="3"/>
        <v>321</v>
      </c>
      <c r="N44" s="144" t="str">
        <f t="shared" si="4"/>
        <v>32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31</v>
      </c>
      <c r="D45" s="149" t="str">
        <f t="shared" si="1"/>
        <v>Vlastiti prihodi</v>
      </c>
      <c r="E45" s="154">
        <v>3221</v>
      </c>
      <c r="F45" s="149" t="str">
        <f t="shared" si="0"/>
        <v>Uredski materijal i ostali materijalni rashodi</v>
      </c>
      <c r="G45" s="201" t="s">
        <v>200</v>
      </c>
      <c r="H45" s="149" t="str">
        <f t="shared" si="2"/>
        <v>REDOVNA DJELATNOST SVEUČILIŠTA U SPLITU (IZ EVIDENCIJSKIH PRIHODA)</v>
      </c>
      <c r="I45" s="198">
        <v>143800</v>
      </c>
      <c r="J45" s="198">
        <v>154000</v>
      </c>
      <c r="K45" s="198">
        <v>174300</v>
      </c>
      <c r="M45" s="144" t="str">
        <f t="shared" si="3"/>
        <v>322</v>
      </c>
      <c r="N45" s="144" t="str">
        <f t="shared" si="4"/>
        <v>32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31</v>
      </c>
      <c r="D46" s="149" t="str">
        <f t="shared" si="1"/>
        <v>Vlastiti prihodi</v>
      </c>
      <c r="E46" s="154">
        <v>3224</v>
      </c>
      <c r="F46" s="149" t="str">
        <f t="shared" si="0"/>
        <v>Materijal i dijelovi za tekuće i investicijsko održavanje</v>
      </c>
      <c r="G46" s="201" t="s">
        <v>200</v>
      </c>
      <c r="H46" s="149" t="str">
        <f t="shared" si="2"/>
        <v>REDOVNA DJELATNOST SVEUČILIŠTA U SPLITU (IZ EVIDENCIJSKIH PRIHODA)</v>
      </c>
      <c r="I46" s="198">
        <v>142000</v>
      </c>
      <c r="J46" s="198">
        <v>154000</v>
      </c>
      <c r="K46" s="198">
        <v>182400</v>
      </c>
      <c r="M46" s="144" t="str">
        <f t="shared" si="3"/>
        <v>322</v>
      </c>
      <c r="N46" s="144" t="str">
        <f t="shared" si="4"/>
        <v>32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31</v>
      </c>
      <c r="D47" s="149" t="str">
        <f t="shared" si="1"/>
        <v>Vlastiti prihodi</v>
      </c>
      <c r="E47" s="154">
        <v>3225</v>
      </c>
      <c r="F47" s="149" t="str">
        <f t="shared" si="0"/>
        <v>Sitni inventar i auto gume</v>
      </c>
      <c r="G47" s="201" t="s">
        <v>200</v>
      </c>
      <c r="H47" s="149" t="str">
        <f t="shared" si="2"/>
        <v>REDOVNA DJELATNOST SVEUČILIŠTA U SPLITU (IZ EVIDENCIJSKIH PRIHODA)</v>
      </c>
      <c r="I47" s="198">
        <v>45000</v>
      </c>
      <c r="J47" s="198">
        <v>48000</v>
      </c>
      <c r="K47" s="198">
        <v>52000</v>
      </c>
      <c r="M47" s="144" t="str">
        <f t="shared" si="3"/>
        <v>322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08006</v>
      </c>
      <c r="B48" s="148" t="str">
        <f>IF(C48="","",VLOOKUP('Opći dio'!$C$3,'Opći dio'!$L$6:$U$135,9,FALSE))</f>
        <v>Sveučilišta i veleučilišta u Republici Hrvatskoj</v>
      </c>
      <c r="C48" s="154">
        <v>31</v>
      </c>
      <c r="D48" s="149" t="str">
        <f t="shared" si="1"/>
        <v>Vlastiti prihodi</v>
      </c>
      <c r="E48" s="154">
        <v>3231</v>
      </c>
      <c r="F48" s="149" t="str">
        <f t="shared" si="0"/>
        <v>Usluge telefona, pošte i prijevoza</v>
      </c>
      <c r="G48" s="201" t="s">
        <v>200</v>
      </c>
      <c r="H48" s="149" t="str">
        <f t="shared" si="2"/>
        <v>REDOVNA DJELATNOST SVEUČILIŠTA U SPLITU (IZ EVIDENCIJSKIH PRIHODA)</v>
      </c>
      <c r="I48" s="198">
        <v>23000</v>
      </c>
      <c r="J48" s="198">
        <v>21000</v>
      </c>
      <c r="K48" s="198">
        <v>19000</v>
      </c>
      <c r="M48" s="144" t="str">
        <f t="shared" si="3"/>
        <v>323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08006</v>
      </c>
      <c r="B49" s="148" t="str">
        <f>IF(C49="","",VLOOKUP('Opći dio'!$C$3,'Opći dio'!$L$6:$U$135,9,FALSE))</f>
        <v>Sveučilišta i veleučilišta u Republici Hrvatskoj</v>
      </c>
      <c r="C49" s="154">
        <v>31</v>
      </c>
      <c r="D49" s="149" t="str">
        <f t="shared" si="1"/>
        <v>Vlastiti prihodi</v>
      </c>
      <c r="E49" s="154">
        <v>3232</v>
      </c>
      <c r="F49" s="149" t="str">
        <f t="shared" si="0"/>
        <v>Usluge tekućeg i investicijskog održavanja</v>
      </c>
      <c r="G49" s="201" t="s">
        <v>200</v>
      </c>
      <c r="H49" s="149" t="str">
        <f t="shared" si="2"/>
        <v>REDOVNA DJELATNOST SVEUČILIŠTA U SPLITU (IZ EVIDENCIJSKIH PRIHODA)</v>
      </c>
      <c r="I49" s="198">
        <v>28000</v>
      </c>
      <c r="J49" s="198">
        <v>25075</v>
      </c>
      <c r="K49" s="198">
        <v>38000</v>
      </c>
      <c r="M49" s="144" t="str">
        <f t="shared" si="3"/>
        <v>323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08006</v>
      </c>
      <c r="B50" s="148" t="str">
        <f>IF(C50="","",VLOOKUP('Opći dio'!$C$3,'Opći dio'!$L$6:$U$135,9,FALSE))</f>
        <v>Sveučilišta i veleučilišta u Republici Hrvatskoj</v>
      </c>
      <c r="C50" s="154">
        <v>31</v>
      </c>
      <c r="D50" s="149" t="str">
        <f t="shared" si="1"/>
        <v>Vlastiti prihodi</v>
      </c>
      <c r="E50" s="154">
        <v>3235</v>
      </c>
      <c r="F50" s="149" t="str">
        <f t="shared" si="0"/>
        <v>Zakupnine i najamnine</v>
      </c>
      <c r="G50" s="201" t="s">
        <v>200</v>
      </c>
      <c r="H50" s="149" t="str">
        <f t="shared" si="2"/>
        <v>REDOVNA DJELATNOST SVEUČILIŠTA U SPLITU (IZ EVIDENCIJSKIH PRIHODA)</v>
      </c>
      <c r="I50" s="198">
        <v>23350</v>
      </c>
      <c r="J50" s="198">
        <v>21000</v>
      </c>
      <c r="K50" s="198">
        <v>24000</v>
      </c>
      <c r="M50" s="144" t="str">
        <f t="shared" si="3"/>
        <v>323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08006</v>
      </c>
      <c r="B51" s="148" t="str">
        <f>IF(C51="","",VLOOKUP('Opći dio'!$C$3,'Opći dio'!$L$6:$U$135,9,FALSE))</f>
        <v>Sveučilišta i veleučilišta u Republici Hrvatskoj</v>
      </c>
      <c r="C51" s="154">
        <v>31</v>
      </c>
      <c r="D51" s="149" t="str">
        <f t="shared" si="1"/>
        <v>Vlastiti prihodi</v>
      </c>
      <c r="E51" s="154">
        <v>3237</v>
      </c>
      <c r="F51" s="149" t="str">
        <f t="shared" si="0"/>
        <v>Intelektualne i osobne usluge</v>
      </c>
      <c r="G51" s="201" t="s">
        <v>200</v>
      </c>
      <c r="H51" s="149" t="str">
        <f t="shared" si="2"/>
        <v>REDOVNA DJELATNOST SVEUČILIŠTA U SPLITU (IZ EVIDENCIJSKIH PRIHODA)</v>
      </c>
      <c r="I51" s="198">
        <v>4215600</v>
      </c>
      <c r="J51" s="198">
        <v>4480300</v>
      </c>
      <c r="K51" s="198">
        <v>4150355</v>
      </c>
      <c r="M51" s="144" t="str">
        <f t="shared" si="3"/>
        <v>323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08006</v>
      </c>
      <c r="B52" s="148" t="str">
        <f>IF(C52="","",VLOOKUP('Opći dio'!$C$3,'Opći dio'!$L$6:$U$135,9,FALSE))</f>
        <v>Sveučilišta i veleučilišta u Republici Hrvatskoj</v>
      </c>
      <c r="C52" s="154">
        <v>31</v>
      </c>
      <c r="D52" s="149" t="str">
        <f t="shared" si="1"/>
        <v>Vlastiti prihodi</v>
      </c>
      <c r="E52" s="154">
        <v>3238</v>
      </c>
      <c r="F52" s="149" t="str">
        <f t="shared" si="0"/>
        <v>Računalne usluge</v>
      </c>
      <c r="G52" s="201" t="s">
        <v>200</v>
      </c>
      <c r="H52" s="149" t="str">
        <f t="shared" si="2"/>
        <v>REDOVNA DJELATNOST SVEUČILIŠTA U SPLITU (IZ EVIDENCIJSKIH PRIHODA)</v>
      </c>
      <c r="I52" s="198">
        <v>10000</v>
      </c>
      <c r="J52" s="198">
        <v>9000</v>
      </c>
      <c r="K52" s="198">
        <v>9500</v>
      </c>
      <c r="M52" s="144" t="str">
        <f t="shared" si="3"/>
        <v>323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>08006</v>
      </c>
      <c r="B53" s="148" t="str">
        <f>IF(C53="","",VLOOKUP('Opći dio'!$C$3,'Opći dio'!$L$6:$U$135,9,FALSE))</f>
        <v>Sveučilišta i veleučilišta u Republici Hrvatskoj</v>
      </c>
      <c r="C53" s="154">
        <v>31</v>
      </c>
      <c r="D53" s="149" t="str">
        <f t="shared" si="1"/>
        <v>Vlastiti prihodi</v>
      </c>
      <c r="E53" s="154">
        <v>3239</v>
      </c>
      <c r="F53" s="149" t="str">
        <f t="shared" si="0"/>
        <v>Ostale usluge</v>
      </c>
      <c r="G53" s="201" t="s">
        <v>200</v>
      </c>
      <c r="H53" s="149" t="str">
        <f t="shared" si="2"/>
        <v>REDOVNA DJELATNOST SVEUČILIŠTA U SPLITU (IZ EVIDENCIJSKIH PRIHODA)</v>
      </c>
      <c r="I53" s="198">
        <v>53000</v>
      </c>
      <c r="J53" s="198">
        <v>49000</v>
      </c>
      <c r="K53" s="198">
        <v>51000</v>
      </c>
      <c r="M53" s="144" t="str">
        <f t="shared" si="3"/>
        <v>323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>08006</v>
      </c>
      <c r="B54" s="148" t="str">
        <f>IF(C54="","",VLOOKUP('Opći dio'!$C$3,'Opći dio'!$L$6:$U$135,9,FALSE))</f>
        <v>Sveučilišta i veleučilišta u Republici Hrvatskoj</v>
      </c>
      <c r="C54" s="154">
        <v>31</v>
      </c>
      <c r="D54" s="149" t="str">
        <f t="shared" si="1"/>
        <v>Vlastiti prihodi</v>
      </c>
      <c r="E54" s="154">
        <v>3293</v>
      </c>
      <c r="F54" s="149" t="str">
        <f t="shared" si="0"/>
        <v>Reprezentacija</v>
      </c>
      <c r="G54" s="201" t="s">
        <v>200</v>
      </c>
      <c r="H54" s="149" t="str">
        <f t="shared" si="2"/>
        <v>REDOVNA DJELATNOST SVEUČILIŠTA U SPLITU (IZ EVIDENCIJSKIH PRIHODA)</v>
      </c>
      <c r="I54" s="198">
        <v>90000</v>
      </c>
      <c r="J54" s="198">
        <v>83000</v>
      </c>
      <c r="K54" s="198">
        <v>87000</v>
      </c>
      <c r="M54" s="144" t="str">
        <f t="shared" si="3"/>
        <v>329</v>
      </c>
      <c r="N54" s="144" t="str">
        <f t="shared" si="4"/>
        <v>32</v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>08006</v>
      </c>
      <c r="B55" s="148" t="str">
        <f>IF(C55="","",VLOOKUP('Opći dio'!$C$3,'Opći dio'!$L$6:$U$135,9,FALSE))</f>
        <v>Sveučilišta i veleučilišta u Republici Hrvatskoj</v>
      </c>
      <c r="C55" s="154">
        <v>31</v>
      </c>
      <c r="D55" s="149" t="str">
        <f t="shared" si="1"/>
        <v>Vlastiti prihodi</v>
      </c>
      <c r="E55" s="154">
        <v>3294</v>
      </c>
      <c r="F55" s="149" t="str">
        <f t="shared" si="0"/>
        <v>Članarine i norme</v>
      </c>
      <c r="G55" s="201" t="s">
        <v>200</v>
      </c>
      <c r="H55" s="149" t="str">
        <f t="shared" si="2"/>
        <v>REDOVNA DJELATNOST SVEUČILIŠTA U SPLITU (IZ EVIDENCIJSKIH PRIHODA)</v>
      </c>
      <c r="I55" s="198">
        <v>43000</v>
      </c>
      <c r="J55" s="198">
        <v>41500</v>
      </c>
      <c r="K55" s="198">
        <v>42000</v>
      </c>
      <c r="M55" s="144" t="str">
        <f t="shared" si="3"/>
        <v>329</v>
      </c>
      <c r="N55" s="144" t="str">
        <f t="shared" si="4"/>
        <v>32</v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>08006</v>
      </c>
      <c r="B56" s="148" t="str">
        <f>IF(C56="","",VLOOKUP('Opći dio'!$C$3,'Opći dio'!$L$6:$U$135,9,FALSE))</f>
        <v>Sveučilišta i veleučilišta u Republici Hrvatskoj</v>
      </c>
      <c r="C56" s="154">
        <v>31</v>
      </c>
      <c r="D56" s="149" t="str">
        <f t="shared" si="1"/>
        <v>Vlastiti prihodi</v>
      </c>
      <c r="E56" s="154">
        <v>3299</v>
      </c>
      <c r="F56" s="149" t="str">
        <f t="shared" si="0"/>
        <v>Ostali nespomenuti rashodi poslovanja</v>
      </c>
      <c r="G56" s="201" t="s">
        <v>200</v>
      </c>
      <c r="H56" s="149" t="str">
        <f t="shared" si="2"/>
        <v>REDOVNA DJELATNOST SVEUČILIŠTA U SPLITU (IZ EVIDENCIJSKIH PRIHODA)</v>
      </c>
      <c r="I56" s="198">
        <v>250000</v>
      </c>
      <c r="J56" s="198">
        <v>250600</v>
      </c>
      <c r="K56" s="198">
        <v>243000</v>
      </c>
      <c r="M56" s="144" t="str">
        <f t="shared" si="3"/>
        <v>329</v>
      </c>
      <c r="N56" s="144" t="str">
        <f t="shared" si="4"/>
        <v>32</v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>08006</v>
      </c>
      <c r="B57" s="148" t="str">
        <f>IF(C57="","",VLOOKUP('Opći dio'!$C$3,'Opći dio'!$L$6:$U$135,9,FALSE))</f>
        <v>Sveučilišta i veleučilišta u Republici Hrvatskoj</v>
      </c>
      <c r="C57" s="154">
        <v>31</v>
      </c>
      <c r="D57" s="149" t="str">
        <f t="shared" si="1"/>
        <v>Vlastiti prihodi</v>
      </c>
      <c r="E57" s="154">
        <v>3422</v>
      </c>
      <c r="F57" s="149" t="str">
        <f t="shared" si="0"/>
        <v>Kamate za primljene kredite i zajmove od kreditnih i ostalih</v>
      </c>
      <c r="G57" s="201" t="s">
        <v>200</v>
      </c>
      <c r="H57" s="149" t="str">
        <f t="shared" si="2"/>
        <v>REDOVNA DJELATNOST SVEUČILIŠTA U SPLITU (IZ EVIDENCIJSKIH PRIHODA)</v>
      </c>
      <c r="I57" s="198">
        <v>150000</v>
      </c>
      <c r="J57" s="198">
        <v>0</v>
      </c>
      <c r="K57" s="198">
        <v>0</v>
      </c>
      <c r="M57" s="144" t="str">
        <f t="shared" si="3"/>
        <v>342</v>
      </c>
      <c r="N57" s="144" t="str">
        <f t="shared" si="4"/>
        <v>34</v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>08006</v>
      </c>
      <c r="B58" s="148" t="str">
        <f>IF(C58="","",VLOOKUP('Opći dio'!$C$3,'Opći dio'!$L$6:$U$135,9,FALSE))</f>
        <v>Sveučilišta i veleučilišta u Republici Hrvatskoj</v>
      </c>
      <c r="C58" s="154">
        <v>31</v>
      </c>
      <c r="D58" s="149" t="str">
        <f t="shared" si="1"/>
        <v>Vlastiti prihodi</v>
      </c>
      <c r="E58" s="154">
        <v>3431</v>
      </c>
      <c r="F58" s="149" t="str">
        <f t="shared" si="0"/>
        <v>Bankarske usluge i usluge platnog prometa</v>
      </c>
      <c r="G58" s="201" t="s">
        <v>200</v>
      </c>
      <c r="H58" s="149" t="str">
        <f t="shared" si="2"/>
        <v>REDOVNA DJELATNOST SVEUČILIŠTA U SPLITU (IZ EVIDENCIJSKIH PRIHODA)</v>
      </c>
      <c r="I58" s="198">
        <v>30000</v>
      </c>
      <c r="J58" s="198">
        <v>30000</v>
      </c>
      <c r="K58" s="198">
        <v>30000</v>
      </c>
      <c r="M58" s="144" t="str">
        <f t="shared" si="3"/>
        <v>343</v>
      </c>
      <c r="N58" s="144" t="str">
        <f t="shared" si="4"/>
        <v>34</v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>08006</v>
      </c>
      <c r="B59" s="148" t="str">
        <f>IF(C59="","",VLOOKUP('Opći dio'!$C$3,'Opći dio'!$L$6:$U$135,9,FALSE))</f>
        <v>Sveučilišta i veleučilišta u Republici Hrvatskoj</v>
      </c>
      <c r="C59" s="154">
        <v>31</v>
      </c>
      <c r="D59" s="149" t="str">
        <f t="shared" si="1"/>
        <v>Vlastiti prihodi</v>
      </c>
      <c r="E59" s="154">
        <v>3811</v>
      </c>
      <c r="F59" s="149" t="str">
        <f t="shared" si="0"/>
        <v>Tekuće donacije u novcu</v>
      </c>
      <c r="G59" s="201" t="s">
        <v>200</v>
      </c>
      <c r="H59" s="149" t="str">
        <f t="shared" si="2"/>
        <v>REDOVNA DJELATNOST SVEUČILIŠTA U SPLITU (IZ EVIDENCIJSKIH PRIHODA)</v>
      </c>
      <c r="I59" s="198">
        <v>20000</v>
      </c>
      <c r="J59" s="198">
        <v>20000</v>
      </c>
      <c r="K59" s="198">
        <v>20000</v>
      </c>
      <c r="M59" s="144" t="str">
        <f t="shared" si="3"/>
        <v>381</v>
      </c>
      <c r="N59" s="144" t="str">
        <f t="shared" si="4"/>
        <v>38</v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>08006</v>
      </c>
      <c r="B60" s="148" t="str">
        <f>IF(C60="","",VLOOKUP('Opći dio'!$C$3,'Opći dio'!$L$6:$U$135,9,FALSE))</f>
        <v>Sveučilišta i veleučilišta u Republici Hrvatskoj</v>
      </c>
      <c r="C60" s="154">
        <v>31</v>
      </c>
      <c r="D60" s="149" t="str">
        <f t="shared" si="1"/>
        <v>Vlastiti prihodi</v>
      </c>
      <c r="E60" s="154">
        <v>4221</v>
      </c>
      <c r="F60" s="149" t="str">
        <f t="shared" si="0"/>
        <v>Uredska oprema i namještaj</v>
      </c>
      <c r="G60" s="201" t="s">
        <v>200</v>
      </c>
      <c r="H60" s="149" t="str">
        <f t="shared" si="2"/>
        <v>REDOVNA DJELATNOST SVEUČILIŠTA U SPLITU (IZ EVIDENCIJSKIH PRIHODA)</v>
      </c>
      <c r="I60" s="198">
        <v>350500</v>
      </c>
      <c r="J60" s="198">
        <v>370600</v>
      </c>
      <c r="K60" s="198">
        <v>425000</v>
      </c>
      <c r="M60" s="144" t="str">
        <f t="shared" si="3"/>
        <v>422</v>
      </c>
      <c r="N60" s="144" t="str">
        <f t="shared" si="4"/>
        <v>42</v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>08006</v>
      </c>
      <c r="B61" s="148" t="str">
        <f>IF(C61="","",VLOOKUP('Opći dio'!$C$3,'Opći dio'!$L$6:$U$135,9,FALSE))</f>
        <v>Sveučilišta i veleučilišta u Republici Hrvatskoj</v>
      </c>
      <c r="C61" s="154">
        <v>43</v>
      </c>
      <c r="D61" s="149" t="str">
        <f t="shared" si="1"/>
        <v>Ostali prihodi za posebne namjene</v>
      </c>
      <c r="E61" s="154">
        <v>3111</v>
      </c>
      <c r="F61" s="149" t="str">
        <f t="shared" si="0"/>
        <v>Plaće za redovan rad</v>
      </c>
      <c r="G61" s="201" t="s">
        <v>200</v>
      </c>
      <c r="H61" s="149" t="str">
        <f t="shared" si="2"/>
        <v>REDOVNA DJELATNOST SVEUČILIŠTA U SPLITU (IZ EVIDENCIJSKIH PRIHODA)</v>
      </c>
      <c r="I61" s="198">
        <v>664896</v>
      </c>
      <c r="J61" s="198">
        <v>396313</v>
      </c>
      <c r="K61" s="198">
        <v>254280</v>
      </c>
      <c r="M61" s="144" t="str">
        <f t="shared" si="3"/>
        <v>311</v>
      </c>
      <c r="N61" s="144" t="str">
        <f t="shared" si="4"/>
        <v>31</v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>08006</v>
      </c>
      <c r="B62" s="148" t="str">
        <f>IF(C62="","",VLOOKUP('Opći dio'!$C$3,'Opći dio'!$L$6:$U$135,9,FALSE))</f>
        <v>Sveučilišta i veleučilišta u Republici Hrvatskoj</v>
      </c>
      <c r="C62" s="154">
        <v>43</v>
      </c>
      <c r="D62" s="149" t="str">
        <f t="shared" si="1"/>
        <v>Ostali prihodi za posebne namjene</v>
      </c>
      <c r="E62" s="154">
        <v>3121</v>
      </c>
      <c r="F62" s="149" t="str">
        <f t="shared" si="0"/>
        <v>Ostali rashodi za zaposlene</v>
      </c>
      <c r="G62" s="201" t="s">
        <v>200</v>
      </c>
      <c r="H62" s="149" t="str">
        <f t="shared" si="2"/>
        <v>REDOVNA DJELATNOST SVEUČILIŠTA U SPLITU (IZ EVIDENCIJSKIH PRIHODA)</v>
      </c>
      <c r="I62" s="198">
        <v>38000</v>
      </c>
      <c r="J62" s="198">
        <v>38000</v>
      </c>
      <c r="K62" s="198">
        <v>38000</v>
      </c>
      <c r="M62" s="144" t="str">
        <f t="shared" si="3"/>
        <v>312</v>
      </c>
      <c r="N62" s="144" t="str">
        <f t="shared" si="4"/>
        <v>31</v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>08006</v>
      </c>
      <c r="B63" s="148" t="str">
        <f>IF(C63="","",VLOOKUP('Opći dio'!$C$3,'Opći dio'!$L$6:$U$135,9,FALSE))</f>
        <v>Sveučilišta i veleučilišta u Republici Hrvatskoj</v>
      </c>
      <c r="C63" s="154">
        <v>43</v>
      </c>
      <c r="D63" s="149" t="str">
        <f t="shared" si="1"/>
        <v>Ostali prihodi za posebne namjene</v>
      </c>
      <c r="E63" s="154">
        <v>3132</v>
      </c>
      <c r="F63" s="149" t="str">
        <f t="shared" si="0"/>
        <v>Doprinosi za obvezno zdravstveno osiguranje</v>
      </c>
      <c r="G63" s="201" t="s">
        <v>200</v>
      </c>
      <c r="H63" s="149" t="str">
        <f t="shared" si="2"/>
        <v>REDOVNA DJELATNOST SVEUČILIŠTA U SPLITU (IZ EVIDENCIJSKIH PRIHODA)</v>
      </c>
      <c r="I63" s="198">
        <v>109707</v>
      </c>
      <c r="J63" s="198">
        <v>65391</v>
      </c>
      <c r="K63" s="198">
        <v>41956</v>
      </c>
      <c r="M63" s="144" t="str">
        <f t="shared" si="3"/>
        <v>313</v>
      </c>
      <c r="N63" s="144" t="str">
        <f t="shared" si="4"/>
        <v>31</v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>08006</v>
      </c>
      <c r="B64" s="148" t="str">
        <f>IF(C64="","",VLOOKUP('Opći dio'!$C$3,'Opći dio'!$L$6:$U$135,9,FALSE))</f>
        <v>Sveučilišta i veleučilišta u Republici Hrvatskoj</v>
      </c>
      <c r="C64" s="154">
        <v>43</v>
      </c>
      <c r="D64" s="149" t="str">
        <f t="shared" si="1"/>
        <v>Ostali prihodi za posebne namjene</v>
      </c>
      <c r="E64" s="154">
        <v>3211</v>
      </c>
      <c r="F64" s="149" t="str">
        <f t="shared" si="0"/>
        <v>Službena putovanja</v>
      </c>
      <c r="G64" s="201" t="s">
        <v>200</v>
      </c>
      <c r="H64" s="149" t="str">
        <f t="shared" si="2"/>
        <v>REDOVNA DJELATNOST SVEUČILIŠTA U SPLITU (IZ EVIDENCIJSKIH PRIHODA)</v>
      </c>
      <c r="I64" s="198">
        <v>96810</v>
      </c>
      <c r="J64" s="198">
        <v>56810</v>
      </c>
      <c r="K64" s="198">
        <v>53000</v>
      </c>
      <c r="M64" s="144" t="str">
        <f t="shared" si="3"/>
        <v>321</v>
      </c>
      <c r="N64" s="144" t="str">
        <f t="shared" si="4"/>
        <v>32</v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>08006</v>
      </c>
      <c r="B65" s="148" t="str">
        <f>IF(C65="","",VLOOKUP('Opći dio'!$C$3,'Opći dio'!$L$6:$U$135,9,FALSE))</f>
        <v>Sveučilišta i veleučilišta u Republici Hrvatskoj</v>
      </c>
      <c r="C65" s="154">
        <v>43</v>
      </c>
      <c r="D65" s="149" t="str">
        <f t="shared" si="1"/>
        <v>Ostali prihodi za posebne namjene</v>
      </c>
      <c r="E65" s="154">
        <v>3212</v>
      </c>
      <c r="F65" s="149" t="str">
        <f t="shared" si="0"/>
        <v>Naknade za prijevoz, za rad na terenu i odvojeni život</v>
      </c>
      <c r="G65" s="201" t="s">
        <v>200</v>
      </c>
      <c r="H65" s="149" t="str">
        <f t="shared" si="2"/>
        <v>REDOVNA DJELATNOST SVEUČILIŠTA U SPLITU (IZ EVIDENCIJSKIH PRIHODA)</v>
      </c>
      <c r="I65" s="198">
        <v>12180</v>
      </c>
      <c r="J65" s="198">
        <v>4060</v>
      </c>
      <c r="K65" s="198">
        <v>2320</v>
      </c>
      <c r="M65" s="144" t="str">
        <f t="shared" si="3"/>
        <v>321</v>
      </c>
      <c r="N65" s="144" t="str">
        <f t="shared" si="4"/>
        <v>32</v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>08006</v>
      </c>
      <c r="B66" s="148" t="str">
        <f>IF(C66="","",VLOOKUP('Opći dio'!$C$3,'Opći dio'!$L$6:$U$135,9,FALSE))</f>
        <v>Sveučilišta i veleučilišta u Republici Hrvatskoj</v>
      </c>
      <c r="C66" s="154">
        <v>43</v>
      </c>
      <c r="D66" s="149" t="str">
        <f t="shared" si="1"/>
        <v>Ostali prihodi za posebne namjene</v>
      </c>
      <c r="E66" s="154">
        <v>3213</v>
      </c>
      <c r="F66" s="149" t="str">
        <f t="shared" si="0"/>
        <v>Stručno usavršavanje zaposlenika</v>
      </c>
      <c r="G66" s="201" t="s">
        <v>200</v>
      </c>
      <c r="H66" s="149" t="str">
        <f t="shared" si="2"/>
        <v>REDOVNA DJELATNOST SVEUČILIŠTA U SPLITU (IZ EVIDENCIJSKIH PRIHODA)</v>
      </c>
      <c r="I66" s="198">
        <v>59000</v>
      </c>
      <c r="J66" s="198">
        <v>31000</v>
      </c>
      <c r="K66" s="198">
        <v>26500</v>
      </c>
      <c r="M66" s="144" t="str">
        <f t="shared" si="3"/>
        <v>321</v>
      </c>
      <c r="N66" s="144" t="str">
        <f t="shared" si="4"/>
        <v>32</v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>08006</v>
      </c>
      <c r="B67" s="148" t="str">
        <f>IF(C67="","",VLOOKUP('Opći dio'!$C$3,'Opći dio'!$L$6:$U$135,9,FALSE))</f>
        <v>Sveučilišta i veleučilišta u Republici Hrvatskoj</v>
      </c>
      <c r="C67" s="154">
        <v>43</v>
      </c>
      <c r="D67" s="149" t="str">
        <f t="shared" si="1"/>
        <v>Ostali prihodi za posebne namjene</v>
      </c>
      <c r="E67" s="154">
        <v>3214</v>
      </c>
      <c r="F67" s="149" t="str">
        <f t="shared" ref="F67:F130" si="11">IFERROR(VLOOKUP(E67,$R$5:$T$129,2,FALSE),"")</f>
        <v>Ostale naknade troškova zaposlenima</v>
      </c>
      <c r="G67" s="201" t="s">
        <v>200</v>
      </c>
      <c r="H67" s="149" t="str">
        <f t="shared" si="2"/>
        <v>REDOVNA DJELATNOST SVEUČILIŠTA U SPLITU (IZ EVIDENCIJSKIH PRIHODA)</v>
      </c>
      <c r="I67" s="198">
        <v>52000</v>
      </c>
      <c r="J67" s="198">
        <v>49000</v>
      </c>
      <c r="K67" s="198">
        <v>42000</v>
      </c>
      <c r="M67" s="144" t="str">
        <f t="shared" si="3"/>
        <v>321</v>
      </c>
      <c r="N67" s="144" t="str">
        <f t="shared" si="4"/>
        <v>32</v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>08006</v>
      </c>
      <c r="B68" s="148" t="str">
        <f>IF(C68="","",VLOOKUP('Opći dio'!$C$3,'Opći dio'!$L$6:$U$135,9,FALSE))</f>
        <v>Sveučilišta i veleučilišta u Republici Hrvatskoj</v>
      </c>
      <c r="C68" s="154">
        <v>43</v>
      </c>
      <c r="D68" s="149" t="str">
        <f t="shared" ref="D68:D131" si="12">IFERROR(VLOOKUP(C68,$O$6:$P$16,2,FALSE),"")</f>
        <v>Ostali prihodi za posebne namjene</v>
      </c>
      <c r="E68" s="154">
        <v>3221</v>
      </c>
      <c r="F68" s="149" t="str">
        <f t="shared" si="11"/>
        <v>Uredski materijal i ostali materijalni rashodi</v>
      </c>
      <c r="G68" s="201" t="s">
        <v>200</v>
      </c>
      <c r="H68" s="149" t="str">
        <f t="shared" ref="H68:H131" si="13">IFERROR(VLOOKUP(G68,$X$6:$Y$50,2,FALSE),"")</f>
        <v>REDOVNA DJELATNOST SVEUČILIŠTA U SPLITU (IZ EVIDENCIJSKIH PRIHODA)</v>
      </c>
      <c r="I68" s="198">
        <v>82440</v>
      </c>
      <c r="J68" s="198">
        <v>72000</v>
      </c>
      <c r="K68" s="198">
        <v>65000</v>
      </c>
      <c r="M68" s="144" t="str">
        <f t="shared" ref="M68:M131" si="14">LEFT(E68,3)</f>
        <v>322</v>
      </c>
      <c r="N68" s="144" t="str">
        <f t="shared" ref="N68:N131" si="15">LEFT(E68,2)</f>
        <v>32</v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>08006</v>
      </c>
      <c r="B69" s="148" t="str">
        <f>IF(C69="","",VLOOKUP('Opći dio'!$C$3,'Opći dio'!$L$6:$U$135,9,FALSE))</f>
        <v>Sveučilišta i veleučilišta u Republici Hrvatskoj</v>
      </c>
      <c r="C69" s="154">
        <v>43</v>
      </c>
      <c r="D69" s="149" t="str">
        <f t="shared" si="12"/>
        <v>Ostali prihodi za posebne namjene</v>
      </c>
      <c r="E69" s="154">
        <v>3223</v>
      </c>
      <c r="F69" s="149" t="str">
        <f t="shared" si="11"/>
        <v>Energija</v>
      </c>
      <c r="G69" s="201" t="s">
        <v>200</v>
      </c>
      <c r="H69" s="149" t="str">
        <f t="shared" si="13"/>
        <v>REDOVNA DJELATNOST SVEUČILIŠTA U SPLITU (IZ EVIDENCIJSKIH PRIHODA)</v>
      </c>
      <c r="I69" s="198">
        <v>84000</v>
      </c>
      <c r="J69" s="198">
        <v>76000</v>
      </c>
      <c r="K69" s="198">
        <v>70000</v>
      </c>
      <c r="M69" s="144" t="str">
        <f t="shared" si="14"/>
        <v>322</v>
      </c>
      <c r="N69" s="144" t="str">
        <f t="shared" si="15"/>
        <v>32</v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>08006</v>
      </c>
      <c r="B70" s="148" t="str">
        <f>IF(C70="","",VLOOKUP('Opći dio'!$C$3,'Opći dio'!$L$6:$U$135,9,FALSE))</f>
        <v>Sveučilišta i veleučilišta u Republici Hrvatskoj</v>
      </c>
      <c r="C70" s="154">
        <v>43</v>
      </c>
      <c r="D70" s="149" t="str">
        <f t="shared" si="12"/>
        <v>Ostali prihodi za posebne namjene</v>
      </c>
      <c r="E70" s="154">
        <v>3224</v>
      </c>
      <c r="F70" s="149" t="str">
        <f t="shared" si="11"/>
        <v>Materijal i dijelovi za tekuće i investicijsko održavanje</v>
      </c>
      <c r="G70" s="201" t="s">
        <v>200</v>
      </c>
      <c r="H70" s="149" t="str">
        <f t="shared" si="13"/>
        <v>REDOVNA DJELATNOST SVEUČILIŠTA U SPLITU (IZ EVIDENCIJSKIH PRIHODA)</v>
      </c>
      <c r="I70" s="198">
        <v>26000</v>
      </c>
      <c r="J70" s="198">
        <v>23000</v>
      </c>
      <c r="K70" s="198">
        <v>16000</v>
      </c>
      <c r="M70" s="144" t="str">
        <f t="shared" si="14"/>
        <v>322</v>
      </c>
      <c r="N70" s="144" t="str">
        <f t="shared" si="15"/>
        <v>32</v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>08006</v>
      </c>
      <c r="B71" s="148" t="str">
        <f>IF(C71="","",VLOOKUP('Opći dio'!$C$3,'Opći dio'!$L$6:$U$135,9,FALSE))</f>
        <v>Sveučilišta i veleučilišta u Republici Hrvatskoj</v>
      </c>
      <c r="C71" s="154">
        <v>43</v>
      </c>
      <c r="D71" s="149" t="str">
        <f t="shared" si="12"/>
        <v>Ostali prihodi za posebne namjene</v>
      </c>
      <c r="E71" s="154">
        <v>3225</v>
      </c>
      <c r="F71" s="149" t="str">
        <f t="shared" si="11"/>
        <v>Sitni inventar i auto gume</v>
      </c>
      <c r="G71" s="201" t="s">
        <v>200</v>
      </c>
      <c r="H71" s="149" t="str">
        <f t="shared" si="13"/>
        <v>REDOVNA DJELATNOST SVEUČILIŠTA U SPLITU (IZ EVIDENCIJSKIH PRIHODA)</v>
      </c>
      <c r="I71" s="198">
        <v>27000</v>
      </c>
      <c r="J71" s="198">
        <v>24000</v>
      </c>
      <c r="K71" s="198">
        <v>19000</v>
      </c>
      <c r="M71" s="144" t="str">
        <f t="shared" si="14"/>
        <v>322</v>
      </c>
      <c r="N71" s="144" t="str">
        <f t="shared" si="15"/>
        <v>32</v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>08006</v>
      </c>
      <c r="B72" s="148" t="str">
        <f>IF(C72="","",VLOOKUP('Opći dio'!$C$3,'Opći dio'!$L$6:$U$135,9,FALSE))</f>
        <v>Sveučilišta i veleučilišta u Republici Hrvatskoj</v>
      </c>
      <c r="C72" s="154">
        <v>43</v>
      </c>
      <c r="D72" s="149" t="str">
        <f t="shared" si="12"/>
        <v>Ostali prihodi za posebne namjene</v>
      </c>
      <c r="E72" s="154">
        <v>3227</v>
      </c>
      <c r="F72" s="149" t="str">
        <f t="shared" si="11"/>
        <v>Službena, radna i zaštitna odjeća i obuća</v>
      </c>
      <c r="G72" s="201" t="s">
        <v>200</v>
      </c>
      <c r="H72" s="149" t="str">
        <f t="shared" si="13"/>
        <v>REDOVNA DJELATNOST SVEUČILIŠTA U SPLITU (IZ EVIDENCIJSKIH PRIHODA)</v>
      </c>
      <c r="I72" s="198">
        <v>3500</v>
      </c>
      <c r="J72" s="198">
        <v>3500</v>
      </c>
      <c r="K72" s="198">
        <v>3500</v>
      </c>
      <c r="M72" s="144" t="str">
        <f t="shared" si="14"/>
        <v>322</v>
      </c>
      <c r="N72" s="144" t="str">
        <f t="shared" si="15"/>
        <v>32</v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>08006</v>
      </c>
      <c r="B73" s="148" t="str">
        <f>IF(C73="","",VLOOKUP('Opći dio'!$C$3,'Opći dio'!$L$6:$U$135,9,FALSE))</f>
        <v>Sveučilišta i veleučilišta u Republici Hrvatskoj</v>
      </c>
      <c r="C73" s="154">
        <v>43</v>
      </c>
      <c r="D73" s="149" t="str">
        <f t="shared" si="12"/>
        <v>Ostali prihodi za posebne namjene</v>
      </c>
      <c r="E73" s="154">
        <v>3231</v>
      </c>
      <c r="F73" s="149" t="str">
        <f t="shared" si="11"/>
        <v>Usluge telefona, pošte i prijevoza</v>
      </c>
      <c r="G73" s="201" t="s">
        <v>200</v>
      </c>
      <c r="H73" s="149" t="str">
        <f t="shared" si="13"/>
        <v>REDOVNA DJELATNOST SVEUČILIŠTA U SPLITU (IZ EVIDENCIJSKIH PRIHODA)</v>
      </c>
      <c r="I73" s="198">
        <v>16000</v>
      </c>
      <c r="J73" s="198">
        <v>15000</v>
      </c>
      <c r="K73" s="198">
        <v>14000</v>
      </c>
      <c r="M73" s="144" t="str">
        <f t="shared" si="14"/>
        <v>323</v>
      </c>
      <c r="N73" s="144" t="str">
        <f t="shared" si="15"/>
        <v>32</v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>08006</v>
      </c>
      <c r="B74" s="148" t="str">
        <f>IF(C74="","",VLOOKUP('Opći dio'!$C$3,'Opći dio'!$L$6:$U$135,9,FALSE))</f>
        <v>Sveučilišta i veleučilišta u Republici Hrvatskoj</v>
      </c>
      <c r="C74" s="154">
        <v>43</v>
      </c>
      <c r="D74" s="149" t="str">
        <f t="shared" si="12"/>
        <v>Ostali prihodi za posebne namjene</v>
      </c>
      <c r="E74" s="154">
        <v>3232</v>
      </c>
      <c r="F74" s="149" t="str">
        <f t="shared" si="11"/>
        <v>Usluge tekućeg i investicijskog održavanja</v>
      </c>
      <c r="G74" s="201" t="s">
        <v>200</v>
      </c>
      <c r="H74" s="149" t="str">
        <f t="shared" si="13"/>
        <v>REDOVNA DJELATNOST SVEUČILIŠTA U SPLITU (IZ EVIDENCIJSKIH PRIHODA)</v>
      </c>
      <c r="I74" s="198">
        <v>92000</v>
      </c>
      <c r="J74" s="198">
        <v>88000</v>
      </c>
      <c r="K74" s="198">
        <v>86000</v>
      </c>
      <c r="M74" s="144" t="str">
        <f t="shared" si="14"/>
        <v>323</v>
      </c>
      <c r="N74" s="144" t="str">
        <f t="shared" si="15"/>
        <v>32</v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>08006</v>
      </c>
      <c r="B75" s="148" t="str">
        <f>IF(C75="","",VLOOKUP('Opći dio'!$C$3,'Opći dio'!$L$6:$U$135,9,FALSE))</f>
        <v>Sveučilišta i veleučilišta u Republici Hrvatskoj</v>
      </c>
      <c r="C75" s="154">
        <v>43</v>
      </c>
      <c r="D75" s="149" t="str">
        <f t="shared" si="12"/>
        <v>Ostali prihodi za posebne namjene</v>
      </c>
      <c r="E75" s="154">
        <v>3233</v>
      </c>
      <c r="F75" s="149" t="str">
        <f t="shared" si="11"/>
        <v>Usluge promidžbe i informiranja</v>
      </c>
      <c r="G75" s="201" t="s">
        <v>200</v>
      </c>
      <c r="H75" s="149" t="str">
        <f t="shared" si="13"/>
        <v>REDOVNA DJELATNOST SVEUČILIŠTA U SPLITU (IZ EVIDENCIJSKIH PRIHODA)</v>
      </c>
      <c r="I75" s="198">
        <v>12000</v>
      </c>
      <c r="J75" s="198">
        <v>12000</v>
      </c>
      <c r="K75" s="198">
        <v>12000</v>
      </c>
      <c r="M75" s="144" t="str">
        <f t="shared" si="14"/>
        <v>323</v>
      </c>
      <c r="N75" s="144" t="str">
        <f t="shared" si="15"/>
        <v>32</v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>08006</v>
      </c>
      <c r="B76" s="148" t="str">
        <f>IF(C76="","",VLOOKUP('Opći dio'!$C$3,'Opći dio'!$L$6:$U$135,9,FALSE))</f>
        <v>Sveučilišta i veleučilišta u Republici Hrvatskoj</v>
      </c>
      <c r="C76" s="154">
        <v>43</v>
      </c>
      <c r="D76" s="149" t="str">
        <f t="shared" si="12"/>
        <v>Ostali prihodi za posebne namjene</v>
      </c>
      <c r="E76" s="154">
        <v>3234</v>
      </c>
      <c r="F76" s="149" t="str">
        <f t="shared" si="11"/>
        <v>Komunalne usluge</v>
      </c>
      <c r="G76" s="201" t="s">
        <v>200</v>
      </c>
      <c r="H76" s="149" t="str">
        <f t="shared" si="13"/>
        <v>REDOVNA DJELATNOST SVEUČILIŠTA U SPLITU (IZ EVIDENCIJSKIH PRIHODA)</v>
      </c>
      <c r="I76" s="198">
        <v>73000</v>
      </c>
      <c r="J76" s="198">
        <v>69000</v>
      </c>
      <c r="K76" s="198">
        <v>68000</v>
      </c>
      <c r="M76" s="144" t="str">
        <f t="shared" si="14"/>
        <v>323</v>
      </c>
      <c r="N76" s="144" t="str">
        <f t="shared" si="15"/>
        <v>32</v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>08006</v>
      </c>
      <c r="B77" s="148" t="str">
        <f>IF(C77="","",VLOOKUP('Opći dio'!$C$3,'Opći dio'!$L$6:$U$135,9,FALSE))</f>
        <v>Sveučilišta i veleučilišta u Republici Hrvatskoj</v>
      </c>
      <c r="C77" s="154">
        <v>43</v>
      </c>
      <c r="D77" s="149" t="str">
        <f t="shared" si="12"/>
        <v>Ostali prihodi za posebne namjene</v>
      </c>
      <c r="E77" s="154">
        <v>3235</v>
      </c>
      <c r="F77" s="149" t="str">
        <f t="shared" si="11"/>
        <v>Zakupnine i najamnine</v>
      </c>
      <c r="G77" s="201" t="s">
        <v>200</v>
      </c>
      <c r="H77" s="149" t="str">
        <f t="shared" si="13"/>
        <v>REDOVNA DJELATNOST SVEUČILIŠTA U SPLITU (IZ EVIDENCIJSKIH PRIHODA)</v>
      </c>
      <c r="I77" s="198">
        <v>57000</v>
      </c>
      <c r="J77" s="198">
        <v>54000</v>
      </c>
      <c r="K77" s="198">
        <v>47250</v>
      </c>
      <c r="M77" s="144" t="str">
        <f t="shared" si="14"/>
        <v>323</v>
      </c>
      <c r="N77" s="144" t="str">
        <f t="shared" si="15"/>
        <v>32</v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>08006</v>
      </c>
      <c r="B78" s="148" t="str">
        <f>IF(C78="","",VLOOKUP('Opći dio'!$C$3,'Opći dio'!$L$6:$U$135,9,FALSE))</f>
        <v>Sveučilišta i veleučilišta u Republici Hrvatskoj</v>
      </c>
      <c r="C78" s="154">
        <v>43</v>
      </c>
      <c r="D78" s="149" t="str">
        <f t="shared" si="12"/>
        <v>Ostali prihodi za posebne namjene</v>
      </c>
      <c r="E78" s="154">
        <v>3237</v>
      </c>
      <c r="F78" s="149" t="str">
        <f t="shared" si="11"/>
        <v>Intelektualne i osobne usluge</v>
      </c>
      <c r="G78" s="201" t="s">
        <v>200</v>
      </c>
      <c r="H78" s="149" t="str">
        <f t="shared" si="13"/>
        <v>REDOVNA DJELATNOST SVEUČILIŠTA U SPLITU (IZ EVIDENCIJSKIH PRIHODA)</v>
      </c>
      <c r="I78" s="198">
        <v>175562</v>
      </c>
      <c r="J78" s="198">
        <v>96000</v>
      </c>
      <c r="K78" s="198">
        <v>89000</v>
      </c>
      <c r="M78" s="144" t="str">
        <f t="shared" si="14"/>
        <v>323</v>
      </c>
      <c r="N78" s="144" t="str">
        <f t="shared" si="15"/>
        <v>32</v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>08006</v>
      </c>
      <c r="B79" s="148" t="str">
        <f>IF(C79="","",VLOOKUP('Opći dio'!$C$3,'Opći dio'!$L$6:$U$135,9,FALSE))</f>
        <v>Sveučilišta i veleučilišta u Republici Hrvatskoj</v>
      </c>
      <c r="C79" s="154">
        <v>43</v>
      </c>
      <c r="D79" s="149" t="str">
        <f t="shared" si="12"/>
        <v>Ostali prihodi za posebne namjene</v>
      </c>
      <c r="E79" s="154">
        <v>3238</v>
      </c>
      <c r="F79" s="149" t="str">
        <f t="shared" si="11"/>
        <v>Računalne usluge</v>
      </c>
      <c r="G79" s="201" t="s">
        <v>200</v>
      </c>
      <c r="H79" s="149" t="str">
        <f t="shared" si="13"/>
        <v>REDOVNA DJELATNOST SVEUČILIŠTA U SPLITU (IZ EVIDENCIJSKIH PRIHODA)</v>
      </c>
      <c r="I79" s="198">
        <v>48000</v>
      </c>
      <c r="J79" s="198">
        <v>46000</v>
      </c>
      <c r="K79" s="198">
        <v>44000</v>
      </c>
      <c r="M79" s="144" t="str">
        <f t="shared" si="14"/>
        <v>323</v>
      </c>
      <c r="N79" s="144" t="str">
        <f t="shared" si="15"/>
        <v>32</v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>08006</v>
      </c>
      <c r="B80" s="148" t="str">
        <f>IF(C80="","",VLOOKUP('Opći dio'!$C$3,'Opći dio'!$L$6:$U$135,9,FALSE))</f>
        <v>Sveučilišta i veleučilišta u Republici Hrvatskoj</v>
      </c>
      <c r="C80" s="154">
        <v>43</v>
      </c>
      <c r="D80" s="149" t="str">
        <f t="shared" si="12"/>
        <v>Ostali prihodi za posebne namjene</v>
      </c>
      <c r="E80" s="154">
        <v>3239</v>
      </c>
      <c r="F80" s="149" t="str">
        <f t="shared" si="11"/>
        <v>Ostale usluge</v>
      </c>
      <c r="G80" s="201" t="s">
        <v>200</v>
      </c>
      <c r="H80" s="149" t="str">
        <f t="shared" si="13"/>
        <v>REDOVNA DJELATNOST SVEUČILIŠTA U SPLITU (IZ EVIDENCIJSKIH PRIHODA)</v>
      </c>
      <c r="I80" s="198">
        <v>75000</v>
      </c>
      <c r="J80" s="198">
        <v>62000</v>
      </c>
      <c r="K80" s="198">
        <v>60000</v>
      </c>
      <c r="M80" s="144" t="str">
        <f t="shared" si="14"/>
        <v>323</v>
      </c>
      <c r="N80" s="144" t="str">
        <f t="shared" si="15"/>
        <v>32</v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>08006</v>
      </c>
      <c r="B81" s="148" t="str">
        <f>IF(C81="","",VLOOKUP('Opći dio'!$C$3,'Opći dio'!$L$6:$U$135,9,FALSE))</f>
        <v>Sveučilišta i veleučilišta u Republici Hrvatskoj</v>
      </c>
      <c r="C81" s="154">
        <v>43</v>
      </c>
      <c r="D81" s="149" t="str">
        <f t="shared" si="12"/>
        <v>Ostali prihodi za posebne namjene</v>
      </c>
      <c r="E81" s="154">
        <v>3241</v>
      </c>
      <c r="F81" s="149" t="str">
        <f t="shared" si="11"/>
        <v>Naknade troškova osobama izvan radnog odnosa</v>
      </c>
      <c r="G81" s="201" t="s">
        <v>200</v>
      </c>
      <c r="H81" s="149" t="str">
        <f t="shared" si="13"/>
        <v>REDOVNA DJELATNOST SVEUČILIŠTA U SPLITU (IZ EVIDENCIJSKIH PRIHODA)</v>
      </c>
      <c r="I81" s="198">
        <v>103000</v>
      </c>
      <c r="J81" s="198">
        <v>81000</v>
      </c>
      <c r="K81" s="198">
        <v>79000</v>
      </c>
      <c r="M81" s="144" t="str">
        <f t="shared" si="14"/>
        <v>324</v>
      </c>
      <c r="N81" s="144" t="str">
        <f t="shared" si="15"/>
        <v>32</v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>08006</v>
      </c>
      <c r="B82" s="148" t="str">
        <f>IF(C82="","",VLOOKUP('Opći dio'!$C$3,'Opći dio'!$L$6:$U$135,9,FALSE))</f>
        <v>Sveučilišta i veleučilišta u Republici Hrvatskoj</v>
      </c>
      <c r="C82" s="154">
        <v>43</v>
      </c>
      <c r="D82" s="149" t="str">
        <f t="shared" si="12"/>
        <v>Ostali prihodi za posebne namjene</v>
      </c>
      <c r="E82" s="154">
        <v>3721</v>
      </c>
      <c r="F82" s="149" t="str">
        <f t="shared" si="11"/>
        <v>Naknade građanima i kućanstvima u novcu</v>
      </c>
      <c r="G82" s="201" t="s">
        <v>200</v>
      </c>
      <c r="H82" s="149" t="str">
        <f t="shared" si="13"/>
        <v>REDOVNA DJELATNOST SVEUČILIŠTA U SPLITU (IZ EVIDENCIJSKIH PRIHODA)</v>
      </c>
      <c r="I82" s="198">
        <v>12000</v>
      </c>
      <c r="J82" s="198">
        <v>0</v>
      </c>
      <c r="K82" s="198">
        <v>0</v>
      </c>
      <c r="M82" s="144" t="str">
        <f t="shared" si="14"/>
        <v>372</v>
      </c>
      <c r="N82" s="144" t="str">
        <f t="shared" si="15"/>
        <v>37</v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>08006</v>
      </c>
      <c r="B83" s="148" t="str">
        <f>IF(C83="","",VLOOKUP('Opći dio'!$C$3,'Opći dio'!$L$6:$U$135,9,FALSE))</f>
        <v>Sveučilišta i veleučilišta u Republici Hrvatskoj</v>
      </c>
      <c r="C83" s="154">
        <v>43</v>
      </c>
      <c r="D83" s="149" t="str">
        <f t="shared" si="12"/>
        <v>Ostali prihodi za posebne namjene</v>
      </c>
      <c r="E83" s="154">
        <v>3292</v>
      </c>
      <c r="F83" s="149" t="str">
        <f t="shared" si="11"/>
        <v>Premije osiguranja</v>
      </c>
      <c r="G83" s="201" t="s">
        <v>200</v>
      </c>
      <c r="H83" s="149" t="str">
        <f t="shared" si="13"/>
        <v>REDOVNA DJELATNOST SVEUČILIŠTA U SPLITU (IZ EVIDENCIJSKIH PRIHODA)</v>
      </c>
      <c r="I83" s="198">
        <v>39000</v>
      </c>
      <c r="J83" s="198">
        <v>35000</v>
      </c>
      <c r="K83" s="198">
        <v>33000</v>
      </c>
      <c r="M83" s="144" t="str">
        <f t="shared" si="14"/>
        <v>329</v>
      </c>
      <c r="N83" s="144" t="str">
        <f t="shared" si="15"/>
        <v>32</v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>08006</v>
      </c>
      <c r="B84" s="148" t="str">
        <f>IF(C84="","",VLOOKUP('Opći dio'!$C$3,'Opći dio'!$L$6:$U$135,9,FALSE))</f>
        <v>Sveučilišta i veleučilišta u Republici Hrvatskoj</v>
      </c>
      <c r="C84" s="154">
        <v>43</v>
      </c>
      <c r="D84" s="149" t="str">
        <f t="shared" si="12"/>
        <v>Ostali prihodi za posebne namjene</v>
      </c>
      <c r="E84" s="154">
        <v>3293</v>
      </c>
      <c r="F84" s="149" t="str">
        <f t="shared" si="11"/>
        <v>Reprezentacija</v>
      </c>
      <c r="G84" s="201" t="s">
        <v>200</v>
      </c>
      <c r="H84" s="149" t="str">
        <f t="shared" si="13"/>
        <v>REDOVNA DJELATNOST SVEUČILIŠTA U SPLITU (IZ EVIDENCIJSKIH PRIHODA)</v>
      </c>
      <c r="I84" s="198">
        <v>87000</v>
      </c>
      <c r="J84" s="198">
        <v>82000</v>
      </c>
      <c r="K84" s="198">
        <v>75000</v>
      </c>
      <c r="M84" s="144" t="str">
        <f t="shared" si="14"/>
        <v>329</v>
      </c>
      <c r="N84" s="144" t="str">
        <f t="shared" si="15"/>
        <v>32</v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>08006</v>
      </c>
      <c r="B85" s="148" t="str">
        <f>IF(C85="","",VLOOKUP('Opći dio'!$C$3,'Opći dio'!$L$6:$U$135,9,FALSE))</f>
        <v>Sveučilišta i veleučilišta u Republici Hrvatskoj</v>
      </c>
      <c r="C85" s="154">
        <v>43</v>
      </c>
      <c r="D85" s="149" t="str">
        <f t="shared" si="12"/>
        <v>Ostali prihodi za posebne namjene</v>
      </c>
      <c r="E85" s="154">
        <v>3294</v>
      </c>
      <c r="F85" s="149" t="str">
        <f t="shared" si="11"/>
        <v>Članarine i norme</v>
      </c>
      <c r="G85" s="201" t="s">
        <v>200</v>
      </c>
      <c r="H85" s="149" t="str">
        <f t="shared" si="13"/>
        <v>REDOVNA DJELATNOST SVEUČILIŠTA U SPLITU (IZ EVIDENCIJSKIH PRIHODA)</v>
      </c>
      <c r="I85" s="198">
        <v>52000</v>
      </c>
      <c r="J85" s="198">
        <v>49000</v>
      </c>
      <c r="K85" s="198">
        <v>48000</v>
      </c>
      <c r="M85" s="144" t="str">
        <f t="shared" si="14"/>
        <v>329</v>
      </c>
      <c r="N85" s="144" t="str">
        <f t="shared" si="15"/>
        <v>32</v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>08006</v>
      </c>
      <c r="B86" s="148" t="str">
        <f>IF(C86="","",VLOOKUP('Opći dio'!$C$3,'Opći dio'!$L$6:$U$135,9,FALSE))</f>
        <v>Sveučilišta i veleučilišta u Republici Hrvatskoj</v>
      </c>
      <c r="C86" s="154">
        <v>43</v>
      </c>
      <c r="D86" s="149" t="str">
        <f t="shared" si="12"/>
        <v>Ostali prihodi za posebne namjene</v>
      </c>
      <c r="E86" s="154">
        <v>3295</v>
      </c>
      <c r="F86" s="149" t="str">
        <f t="shared" si="11"/>
        <v>Pristojbe i naknade</v>
      </c>
      <c r="G86" s="201" t="s">
        <v>200</v>
      </c>
      <c r="H86" s="149" t="str">
        <f t="shared" si="13"/>
        <v>REDOVNA DJELATNOST SVEUČILIŠTA U SPLITU (IZ EVIDENCIJSKIH PRIHODA)</v>
      </c>
      <c r="I86" s="198">
        <v>14000</v>
      </c>
      <c r="J86" s="198">
        <v>13000</v>
      </c>
      <c r="K86" s="198">
        <v>12000</v>
      </c>
      <c r="M86" s="144" t="str">
        <f t="shared" si="14"/>
        <v>329</v>
      </c>
      <c r="N86" s="144" t="str">
        <f t="shared" si="15"/>
        <v>32</v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>08006</v>
      </c>
      <c r="B87" s="148" t="str">
        <f>IF(C87="","",VLOOKUP('Opći dio'!$C$3,'Opći dio'!$L$6:$U$135,9,FALSE))</f>
        <v>Sveučilišta i veleučilišta u Republici Hrvatskoj</v>
      </c>
      <c r="C87" s="154">
        <v>43</v>
      </c>
      <c r="D87" s="149" t="str">
        <f t="shared" si="12"/>
        <v>Ostali prihodi za posebne namjene</v>
      </c>
      <c r="E87" s="154">
        <v>3299</v>
      </c>
      <c r="F87" s="149" t="str">
        <f t="shared" si="11"/>
        <v>Ostali nespomenuti rashodi poslovanja</v>
      </c>
      <c r="G87" s="201" t="s">
        <v>200</v>
      </c>
      <c r="H87" s="149" t="str">
        <f t="shared" si="13"/>
        <v>REDOVNA DJELATNOST SVEUČILIŠTA U SPLITU (IZ EVIDENCIJSKIH PRIHODA)</v>
      </c>
      <c r="I87" s="198">
        <v>510213</v>
      </c>
      <c r="J87" s="198">
        <v>499213</v>
      </c>
      <c r="K87" s="198">
        <v>450000</v>
      </c>
      <c r="M87" s="144" t="str">
        <f t="shared" si="14"/>
        <v>329</v>
      </c>
      <c r="N87" s="144" t="str">
        <f t="shared" si="15"/>
        <v>32</v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>08006</v>
      </c>
      <c r="B88" s="148" t="str">
        <f>IF(C88="","",VLOOKUP('Opći dio'!$C$3,'Opći dio'!$L$6:$U$135,9,FALSE))</f>
        <v>Sveučilišta i veleučilišta u Republici Hrvatskoj</v>
      </c>
      <c r="C88" s="154">
        <v>43</v>
      </c>
      <c r="D88" s="149" t="str">
        <f t="shared" si="12"/>
        <v>Ostali prihodi za posebne namjene</v>
      </c>
      <c r="E88" s="154">
        <v>3431</v>
      </c>
      <c r="F88" s="149" t="str">
        <f t="shared" si="11"/>
        <v>Bankarske usluge i usluge platnog prometa</v>
      </c>
      <c r="G88" s="201" t="s">
        <v>200</v>
      </c>
      <c r="H88" s="149" t="str">
        <f t="shared" si="13"/>
        <v>REDOVNA DJELATNOST SVEUČILIŠTA U SPLITU (IZ EVIDENCIJSKIH PRIHODA)</v>
      </c>
      <c r="I88" s="198">
        <v>10000</v>
      </c>
      <c r="J88" s="198">
        <v>10000</v>
      </c>
      <c r="K88" s="198">
        <v>10000</v>
      </c>
      <c r="M88" s="144" t="str">
        <f t="shared" si="14"/>
        <v>343</v>
      </c>
      <c r="N88" s="144" t="str">
        <f t="shared" si="15"/>
        <v>34</v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>08006</v>
      </c>
      <c r="B89" s="148" t="str">
        <f>IF(C89="","",VLOOKUP('Opći dio'!$C$3,'Opći dio'!$L$6:$U$135,9,FALSE))</f>
        <v>Sveučilišta i veleučilišta u Republici Hrvatskoj</v>
      </c>
      <c r="C89" s="154">
        <v>43</v>
      </c>
      <c r="D89" s="149" t="str">
        <f t="shared" si="12"/>
        <v>Ostali prihodi za posebne namjene</v>
      </c>
      <c r="E89" s="154">
        <v>4221</v>
      </c>
      <c r="F89" s="149" t="str">
        <f t="shared" si="11"/>
        <v>Uredska oprema i namještaj</v>
      </c>
      <c r="G89" s="201" t="s">
        <v>200</v>
      </c>
      <c r="H89" s="149" t="str">
        <f t="shared" si="13"/>
        <v>REDOVNA DJELATNOST SVEUČILIŠTA U SPLITU (IZ EVIDENCIJSKIH PRIHODA)</v>
      </c>
      <c r="I89" s="198">
        <v>235000</v>
      </c>
      <c r="J89" s="198">
        <v>198822</v>
      </c>
      <c r="K89" s="198">
        <v>162000</v>
      </c>
      <c r="M89" s="144" t="str">
        <f t="shared" si="14"/>
        <v>422</v>
      </c>
      <c r="N89" s="144" t="str">
        <f t="shared" si="15"/>
        <v>42</v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/>
      </c>
      <c r="B90" s="148" t="str">
        <f>IF(C90="","",VLOOKUP('Opći dio'!$C$3,'Opći dio'!$L$6:$U$135,9,FALSE))</f>
        <v/>
      </c>
      <c r="C90" s="154"/>
      <c r="D90" s="149" t="str">
        <f t="shared" si="12"/>
        <v/>
      </c>
      <c r="E90" s="154"/>
      <c r="F90" s="149" t="str">
        <f t="shared" si="11"/>
        <v/>
      </c>
      <c r="G90" s="201"/>
      <c r="H90" s="149" t="str">
        <f t="shared" si="13"/>
        <v/>
      </c>
      <c r="I90" s="198"/>
      <c r="J90" s="198">
        <v>0</v>
      </c>
      <c r="K90" s="198">
        <v>0</v>
      </c>
      <c r="M90" s="144" t="str">
        <f t="shared" si="14"/>
        <v/>
      </c>
      <c r="N90" s="144" t="str">
        <f t="shared" si="15"/>
        <v/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>08006</v>
      </c>
      <c r="B91" s="148" t="str">
        <f>IF(C91="","",VLOOKUP('Opći dio'!$C$3,'Opći dio'!$L$6:$U$135,9,FALSE))</f>
        <v>Sveučilišta i veleučilišta u Republici Hrvatskoj</v>
      </c>
      <c r="C91" s="154">
        <v>52</v>
      </c>
      <c r="D91" s="149" t="str">
        <f t="shared" si="12"/>
        <v>Ostale pomoći</v>
      </c>
      <c r="E91" s="154">
        <v>3211</v>
      </c>
      <c r="F91" s="149" t="str">
        <f t="shared" si="11"/>
        <v>Službena putovanja</v>
      </c>
      <c r="G91" s="201" t="s">
        <v>154</v>
      </c>
      <c r="H91" s="149" t="str">
        <f t="shared" si="13"/>
        <v>EU PROJEKTI SVEUČILIŠTE U SPLITU (IZ EVIDENCIJSKIH PRIHODA)</v>
      </c>
      <c r="I91" s="198">
        <v>393420</v>
      </c>
      <c r="J91" s="198">
        <v>408871</v>
      </c>
      <c r="K91" s="198">
        <v>460207</v>
      </c>
      <c r="M91" s="144" t="str">
        <f t="shared" si="14"/>
        <v>321</v>
      </c>
      <c r="N91" s="144" t="str">
        <f t="shared" si="15"/>
        <v>32</v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/>
      </c>
      <c r="B92" s="148" t="str">
        <f>IF(C92="","",VLOOKUP('Opći dio'!$C$3,'Opći dio'!$L$6:$U$135,9,FALSE))</f>
        <v/>
      </c>
      <c r="C92" s="154"/>
      <c r="D92" s="149" t="str">
        <f t="shared" si="12"/>
        <v/>
      </c>
      <c r="E92" s="154"/>
      <c r="F92" s="149" t="str">
        <f t="shared" si="11"/>
        <v/>
      </c>
      <c r="G92" s="201"/>
      <c r="H92" s="149" t="str">
        <f t="shared" si="13"/>
        <v/>
      </c>
      <c r="I92" s="198"/>
      <c r="J92" s="198"/>
      <c r="K92" s="198"/>
      <c r="M92" s="144" t="str">
        <f t="shared" si="14"/>
        <v/>
      </c>
      <c r="N92" s="144" t="str">
        <f t="shared" si="15"/>
        <v/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/>
      </c>
      <c r="B93" s="148" t="str">
        <f>IF(C93="","",VLOOKUP('Opći dio'!$C$3,'Opći dio'!$L$6:$U$135,9,FALSE))</f>
        <v/>
      </c>
      <c r="C93" s="154"/>
      <c r="D93" s="149" t="str">
        <f t="shared" si="12"/>
        <v/>
      </c>
      <c r="E93" s="154"/>
      <c r="F93" s="149" t="str">
        <f t="shared" si="11"/>
        <v/>
      </c>
      <c r="G93" s="201"/>
      <c r="H93" s="149" t="str">
        <f t="shared" si="13"/>
        <v/>
      </c>
      <c r="I93" s="198"/>
      <c r="J93" s="198"/>
      <c r="K93" s="198"/>
      <c r="M93" s="144" t="str">
        <f t="shared" si="14"/>
        <v/>
      </c>
      <c r="N93" s="144" t="str">
        <f t="shared" si="15"/>
        <v/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/>
      </c>
      <c r="B94" s="148" t="str">
        <f>IF(C94="","",VLOOKUP('Opći dio'!$C$3,'Opći dio'!$L$6:$U$135,9,FALSE))</f>
        <v/>
      </c>
      <c r="C94" s="154"/>
      <c r="D94" s="149" t="str">
        <f t="shared" si="12"/>
        <v/>
      </c>
      <c r="E94" s="154"/>
      <c r="F94" s="149" t="str">
        <f t="shared" si="11"/>
        <v/>
      </c>
      <c r="G94" s="201"/>
      <c r="H94" s="149" t="str">
        <f t="shared" si="13"/>
        <v/>
      </c>
      <c r="I94" s="198"/>
      <c r="J94" s="198"/>
      <c r="K94" s="198"/>
      <c r="M94" s="144" t="str">
        <f t="shared" si="14"/>
        <v/>
      </c>
      <c r="N94" s="144" t="str">
        <f t="shared" si="15"/>
        <v/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>08006</v>
      </c>
      <c r="B95" s="148" t="str">
        <f>IF(C95="","",VLOOKUP('Opći dio'!$C$3,'Opći dio'!$L$6:$U$135,9,FALSE))</f>
        <v>Sveučilišta i veleučilišta u Republici Hrvatskoj</v>
      </c>
      <c r="C95" s="154">
        <v>51</v>
      </c>
      <c r="D95" s="149" t="str">
        <f t="shared" si="12"/>
        <v>Pomoći EU</v>
      </c>
      <c r="E95" s="154">
        <v>3111</v>
      </c>
      <c r="F95" s="149" t="str">
        <f t="shared" si="11"/>
        <v>Plaće za redovan rad</v>
      </c>
      <c r="G95" s="201" t="s">
        <v>154</v>
      </c>
      <c r="H95" s="149" t="str">
        <f t="shared" si="13"/>
        <v>EU PROJEKTI SVEUČILIŠTE U SPLITU (IZ EVIDENCIJSKIH PRIHODA)</v>
      </c>
      <c r="I95" s="198">
        <v>1466895</v>
      </c>
      <c r="J95" s="198">
        <v>836069</v>
      </c>
      <c r="K95" s="198">
        <v>53219</v>
      </c>
      <c r="M95" s="144" t="str">
        <f t="shared" si="14"/>
        <v>311</v>
      </c>
      <c r="N95" s="144" t="str">
        <f t="shared" si="15"/>
        <v>31</v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>08006</v>
      </c>
      <c r="B96" s="148" t="str">
        <f>IF(C96="","",VLOOKUP('Opći dio'!$C$3,'Opći dio'!$L$6:$U$135,9,FALSE))</f>
        <v>Sveučilišta i veleučilišta u Republici Hrvatskoj</v>
      </c>
      <c r="C96" s="154">
        <v>51</v>
      </c>
      <c r="D96" s="149" t="str">
        <f t="shared" si="12"/>
        <v>Pomoći EU</v>
      </c>
      <c r="E96" s="154">
        <v>3121</v>
      </c>
      <c r="F96" s="149" t="str">
        <f t="shared" si="11"/>
        <v>Ostali rashodi za zaposlene</v>
      </c>
      <c r="G96" s="201" t="s">
        <v>154</v>
      </c>
      <c r="H96" s="149" t="str">
        <f t="shared" si="13"/>
        <v>EU PROJEKTI SVEUČILIŠTE U SPLITU (IZ EVIDENCIJSKIH PRIHODA)</v>
      </c>
      <c r="I96" s="198">
        <v>17865</v>
      </c>
      <c r="J96" s="198">
        <v>2760</v>
      </c>
      <c r="K96" s="198">
        <v>0</v>
      </c>
      <c r="M96" s="144" t="str">
        <f t="shared" si="14"/>
        <v>312</v>
      </c>
      <c r="N96" s="144" t="str">
        <f t="shared" si="15"/>
        <v>31</v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>08006</v>
      </c>
      <c r="B97" s="148" t="str">
        <f>IF(C97="","",VLOOKUP('Opći dio'!$C$3,'Opći dio'!$L$6:$U$135,9,FALSE))</f>
        <v>Sveučilišta i veleučilišta u Republici Hrvatskoj</v>
      </c>
      <c r="C97" s="154">
        <v>51</v>
      </c>
      <c r="D97" s="149" t="str">
        <f t="shared" si="12"/>
        <v>Pomoći EU</v>
      </c>
      <c r="E97" s="154">
        <v>3132</v>
      </c>
      <c r="F97" s="149" t="str">
        <f t="shared" si="11"/>
        <v>Doprinosi za obvezno zdravstveno osiguranje</v>
      </c>
      <c r="G97" s="201" t="s">
        <v>154</v>
      </c>
      <c r="H97" s="149" t="str">
        <f t="shared" si="13"/>
        <v>EU PROJEKTI SVEUČILIŠTE U SPLITU (IZ EVIDENCIJSKIH PRIHODA)</v>
      </c>
      <c r="I97" s="198">
        <v>250535</v>
      </c>
      <c r="J97" s="198">
        <v>145978</v>
      </c>
      <c r="K97" s="198">
        <v>10197</v>
      </c>
      <c r="M97" s="144" t="str">
        <f t="shared" si="14"/>
        <v>313</v>
      </c>
      <c r="N97" s="144" t="str">
        <f t="shared" si="15"/>
        <v>31</v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>08006</v>
      </c>
      <c r="B98" s="148" t="str">
        <f>IF(C98="","",VLOOKUP('Opći dio'!$C$3,'Opći dio'!$L$6:$U$135,9,FALSE))</f>
        <v>Sveučilišta i veleučilišta u Republici Hrvatskoj</v>
      </c>
      <c r="C98" s="154">
        <v>51</v>
      </c>
      <c r="D98" s="149" t="str">
        <f t="shared" si="12"/>
        <v>Pomoći EU</v>
      </c>
      <c r="E98" s="154">
        <v>3211</v>
      </c>
      <c r="F98" s="149" t="str">
        <f t="shared" si="11"/>
        <v>Službena putovanja</v>
      </c>
      <c r="G98" s="201" t="s">
        <v>154</v>
      </c>
      <c r="H98" s="149" t="str">
        <f t="shared" si="13"/>
        <v>EU PROJEKTI SVEUČILIŠTE U SPLITU (IZ EVIDENCIJSKIH PRIHODA)</v>
      </c>
      <c r="I98" s="198">
        <v>306185</v>
      </c>
      <c r="J98" s="198">
        <v>177395</v>
      </c>
      <c r="K98" s="198">
        <v>0</v>
      </c>
      <c r="M98" s="144" t="str">
        <f t="shared" si="14"/>
        <v>321</v>
      </c>
      <c r="N98" s="144" t="str">
        <f t="shared" si="15"/>
        <v>32</v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>08006</v>
      </c>
      <c r="B99" s="148" t="str">
        <f>IF(C99="","",VLOOKUP('Opći dio'!$C$3,'Opći dio'!$L$6:$U$135,9,FALSE))</f>
        <v>Sveučilišta i veleučilišta u Republici Hrvatskoj</v>
      </c>
      <c r="C99" s="154">
        <v>51</v>
      </c>
      <c r="D99" s="149" t="str">
        <f t="shared" si="12"/>
        <v>Pomoći EU</v>
      </c>
      <c r="E99" s="154">
        <v>3212</v>
      </c>
      <c r="F99" s="149" t="str">
        <f t="shared" si="11"/>
        <v>Naknade za prijevoz, za rad na terenu i odvojeni život</v>
      </c>
      <c r="G99" s="201" t="s">
        <v>154</v>
      </c>
      <c r="H99" s="149" t="str">
        <f t="shared" si="13"/>
        <v>EU PROJEKTI SVEUČILIŠTE U SPLITU (IZ EVIDENCIJSKIH PRIHODA)</v>
      </c>
      <c r="I99" s="198">
        <v>29988</v>
      </c>
      <c r="J99" s="198">
        <v>14188</v>
      </c>
      <c r="K99" s="198">
        <v>0</v>
      </c>
      <c r="M99" s="144" t="str">
        <f t="shared" si="14"/>
        <v>321</v>
      </c>
      <c r="N99" s="144" t="str">
        <f t="shared" si="15"/>
        <v>32</v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>08006</v>
      </c>
      <c r="B100" s="148" t="str">
        <f>IF(C100="","",VLOOKUP('Opći dio'!$C$3,'Opći dio'!$L$6:$U$135,9,FALSE))</f>
        <v>Sveučilišta i veleučilišta u Republici Hrvatskoj</v>
      </c>
      <c r="C100" s="154">
        <v>51</v>
      </c>
      <c r="D100" s="149" t="str">
        <f t="shared" si="12"/>
        <v>Pomoći EU</v>
      </c>
      <c r="E100" s="154">
        <v>3214</v>
      </c>
      <c r="F100" s="149" t="str">
        <f t="shared" si="11"/>
        <v>Ostale naknade troškova zaposlenima</v>
      </c>
      <c r="G100" s="201" t="s">
        <v>154</v>
      </c>
      <c r="H100" s="149" t="str">
        <f t="shared" si="13"/>
        <v>EU PROJEKTI SVEUČILIŠTE U SPLITU (IZ EVIDENCIJSKIH PRIHODA)</v>
      </c>
      <c r="I100" s="198">
        <v>14800</v>
      </c>
      <c r="J100" s="198">
        <v>5920</v>
      </c>
      <c r="K100" s="198">
        <v>0</v>
      </c>
      <c r="M100" s="144" t="str">
        <f t="shared" si="14"/>
        <v>321</v>
      </c>
      <c r="N100" s="144" t="str">
        <f t="shared" si="15"/>
        <v>32</v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>08006</v>
      </c>
      <c r="B101" s="148" t="str">
        <f>IF(C101="","",VLOOKUP('Opći dio'!$C$3,'Opći dio'!$L$6:$U$135,9,FALSE))</f>
        <v>Sveučilišta i veleučilišta u Republici Hrvatskoj</v>
      </c>
      <c r="C101" s="154">
        <v>51</v>
      </c>
      <c r="D101" s="149" t="str">
        <f t="shared" si="12"/>
        <v>Pomoći EU</v>
      </c>
      <c r="E101" s="154">
        <v>3221</v>
      </c>
      <c r="F101" s="149" t="str">
        <f t="shared" si="11"/>
        <v>Uredski materijal i ostali materijalni rashodi</v>
      </c>
      <c r="G101" s="201" t="s">
        <v>154</v>
      </c>
      <c r="H101" s="149" t="str">
        <f t="shared" si="13"/>
        <v>EU PROJEKTI SVEUČILIŠTE U SPLITU (IZ EVIDENCIJSKIH PRIHODA)</v>
      </c>
      <c r="I101" s="198">
        <v>8400</v>
      </c>
      <c r="J101" s="198">
        <v>11000</v>
      </c>
      <c r="K101" s="198">
        <v>0</v>
      </c>
      <c r="M101" s="144" t="str">
        <f t="shared" si="14"/>
        <v>322</v>
      </c>
      <c r="N101" s="144" t="str">
        <f t="shared" si="15"/>
        <v>32</v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>08006</v>
      </c>
      <c r="B102" s="148" t="str">
        <f>IF(C102="","",VLOOKUP('Opći dio'!$C$3,'Opći dio'!$L$6:$U$135,9,FALSE))</f>
        <v>Sveučilišta i veleučilišta u Republici Hrvatskoj</v>
      </c>
      <c r="C102" s="154">
        <v>51</v>
      </c>
      <c r="D102" s="149" t="str">
        <f t="shared" si="12"/>
        <v>Pomoći EU</v>
      </c>
      <c r="E102" s="154">
        <v>3223</v>
      </c>
      <c r="F102" s="149" t="str">
        <f t="shared" si="11"/>
        <v>Energija</v>
      </c>
      <c r="G102" s="201" t="s">
        <v>154</v>
      </c>
      <c r="H102" s="149" t="str">
        <f t="shared" si="13"/>
        <v>EU PROJEKTI SVEUČILIŠTE U SPLITU (IZ EVIDENCIJSKIH PRIHODA)</v>
      </c>
      <c r="I102" s="198">
        <v>3590</v>
      </c>
      <c r="J102" s="198">
        <v>6377</v>
      </c>
      <c r="K102" s="198">
        <v>0</v>
      </c>
      <c r="M102" s="144" t="str">
        <f t="shared" si="14"/>
        <v>322</v>
      </c>
      <c r="N102" s="144" t="str">
        <f t="shared" si="15"/>
        <v>32</v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>08006</v>
      </c>
      <c r="B103" s="148" t="str">
        <f>IF(C103="","",VLOOKUP('Opći dio'!$C$3,'Opći dio'!$L$6:$U$135,9,FALSE))</f>
        <v>Sveučilišta i veleučilišta u Republici Hrvatskoj</v>
      </c>
      <c r="C103" s="154">
        <v>51</v>
      </c>
      <c r="D103" s="149" t="str">
        <f t="shared" si="12"/>
        <v>Pomoći EU</v>
      </c>
      <c r="E103" s="154">
        <v>3231</v>
      </c>
      <c r="F103" s="149" t="str">
        <f t="shared" si="11"/>
        <v>Usluge telefona, pošte i prijevoza</v>
      </c>
      <c r="G103" s="201" t="s">
        <v>154</v>
      </c>
      <c r="H103" s="149" t="str">
        <f t="shared" si="13"/>
        <v>EU PROJEKTI SVEUČILIŠTE U SPLITU (IZ EVIDENCIJSKIH PRIHODA)</v>
      </c>
      <c r="I103" s="198">
        <v>34930</v>
      </c>
      <c r="J103" s="198">
        <v>15257</v>
      </c>
      <c r="K103" s="198">
        <v>0</v>
      </c>
      <c r="M103" s="144" t="str">
        <f t="shared" si="14"/>
        <v>323</v>
      </c>
      <c r="N103" s="144" t="str">
        <f t="shared" si="15"/>
        <v>32</v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>08006</v>
      </c>
      <c r="B104" s="148" t="str">
        <f>IF(C104="","",VLOOKUP('Opći dio'!$C$3,'Opći dio'!$L$6:$U$135,9,FALSE))</f>
        <v>Sveučilišta i veleučilišta u Republici Hrvatskoj</v>
      </c>
      <c r="C104" s="154">
        <v>51</v>
      </c>
      <c r="D104" s="149" t="str">
        <f t="shared" si="12"/>
        <v>Pomoći EU</v>
      </c>
      <c r="E104" s="154">
        <v>3233</v>
      </c>
      <c r="F104" s="149" t="str">
        <f t="shared" si="11"/>
        <v>Usluge promidžbe i informiranja</v>
      </c>
      <c r="G104" s="201" t="s">
        <v>154</v>
      </c>
      <c r="H104" s="149" t="str">
        <f t="shared" si="13"/>
        <v>EU PROJEKTI SVEUČILIŠTE U SPLITU (IZ EVIDENCIJSKIH PRIHODA)</v>
      </c>
      <c r="I104" s="198">
        <v>14620</v>
      </c>
      <c r="J104" s="198">
        <v>0</v>
      </c>
      <c r="K104" s="198">
        <v>0</v>
      </c>
      <c r="M104" s="144" t="str">
        <f t="shared" si="14"/>
        <v>323</v>
      </c>
      <c r="N104" s="144" t="str">
        <f t="shared" si="15"/>
        <v>32</v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>08006</v>
      </c>
      <c r="B105" s="148" t="str">
        <f>IF(C105="","",VLOOKUP('Opći dio'!$C$3,'Opći dio'!$L$6:$U$135,9,FALSE))</f>
        <v>Sveučilišta i veleučilišta u Republici Hrvatskoj</v>
      </c>
      <c r="C105" s="154">
        <v>51</v>
      </c>
      <c r="D105" s="149" t="str">
        <f t="shared" si="12"/>
        <v>Pomoći EU</v>
      </c>
      <c r="E105" s="154">
        <v>3237</v>
      </c>
      <c r="F105" s="149" t="str">
        <f t="shared" si="11"/>
        <v>Intelektualne i osobne usluge</v>
      </c>
      <c r="G105" s="201" t="s">
        <v>154</v>
      </c>
      <c r="H105" s="149" t="str">
        <f t="shared" si="13"/>
        <v>EU PROJEKTI SVEUČILIŠTE U SPLITU (IZ EVIDENCIJSKIH PRIHODA)</v>
      </c>
      <c r="I105" s="198">
        <v>4103675</v>
      </c>
      <c r="J105" s="198">
        <v>691521</v>
      </c>
      <c r="K105" s="198">
        <v>0</v>
      </c>
      <c r="M105" s="144" t="str">
        <f t="shared" si="14"/>
        <v>323</v>
      </c>
      <c r="N105" s="144" t="str">
        <f t="shared" si="15"/>
        <v>32</v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>08006</v>
      </c>
      <c r="B106" s="148" t="str">
        <f>IF(C106="","",VLOOKUP('Opći dio'!$C$3,'Opći dio'!$L$6:$U$135,9,FALSE))</f>
        <v>Sveučilišta i veleučilišta u Republici Hrvatskoj</v>
      </c>
      <c r="C106" s="154">
        <v>51</v>
      </c>
      <c r="D106" s="149" t="str">
        <f t="shared" si="12"/>
        <v>Pomoći EU</v>
      </c>
      <c r="E106" s="154">
        <v>3238</v>
      </c>
      <c r="F106" s="149" t="str">
        <f t="shared" si="11"/>
        <v>Računalne usluge</v>
      </c>
      <c r="G106" s="201" t="s">
        <v>154</v>
      </c>
      <c r="H106" s="149" t="str">
        <f t="shared" si="13"/>
        <v>EU PROJEKTI SVEUČILIŠTE U SPLITU (IZ EVIDENCIJSKIH PRIHODA)</v>
      </c>
      <c r="I106" s="198">
        <v>92500</v>
      </c>
      <c r="J106" s="198">
        <v>0</v>
      </c>
      <c r="K106" s="198">
        <v>0</v>
      </c>
      <c r="M106" s="144" t="str">
        <f t="shared" si="14"/>
        <v>323</v>
      </c>
      <c r="N106" s="144" t="str">
        <f t="shared" si="15"/>
        <v>32</v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>08006</v>
      </c>
      <c r="B107" s="148" t="str">
        <f>IF(C107="","",VLOOKUP('Opći dio'!$C$3,'Opći dio'!$L$6:$U$135,9,FALSE))</f>
        <v>Sveučilišta i veleučilišta u Republici Hrvatskoj</v>
      </c>
      <c r="C107" s="154">
        <v>51</v>
      </c>
      <c r="D107" s="149" t="str">
        <f t="shared" si="12"/>
        <v>Pomoći EU</v>
      </c>
      <c r="E107" s="154">
        <v>3239</v>
      </c>
      <c r="F107" s="149" t="str">
        <f t="shared" si="11"/>
        <v>Ostale usluge</v>
      </c>
      <c r="G107" s="201" t="s">
        <v>154</v>
      </c>
      <c r="H107" s="149" t="str">
        <f t="shared" si="13"/>
        <v>EU PROJEKTI SVEUČILIŠTE U SPLITU (IZ EVIDENCIJSKIH PRIHODA)</v>
      </c>
      <c r="I107" s="198">
        <v>12000</v>
      </c>
      <c r="J107" s="198">
        <v>13000</v>
      </c>
      <c r="K107" s="198">
        <v>0</v>
      </c>
      <c r="M107" s="144" t="str">
        <f t="shared" si="14"/>
        <v>323</v>
      </c>
      <c r="N107" s="144" t="str">
        <f t="shared" si="15"/>
        <v>32</v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>08006</v>
      </c>
      <c r="B108" s="148" t="str">
        <f>IF(C108="","",VLOOKUP('Opći dio'!$C$3,'Opći dio'!$L$6:$U$135,9,FALSE))</f>
        <v>Sveučilišta i veleučilišta u Republici Hrvatskoj</v>
      </c>
      <c r="C108" s="154">
        <v>51</v>
      </c>
      <c r="D108" s="149" t="str">
        <f t="shared" si="12"/>
        <v>Pomoći EU</v>
      </c>
      <c r="E108" s="154">
        <v>4221</v>
      </c>
      <c r="F108" s="149" t="str">
        <f t="shared" si="11"/>
        <v>Uredska oprema i namještaj</v>
      </c>
      <c r="G108" s="201" t="s">
        <v>154</v>
      </c>
      <c r="H108" s="149" t="str">
        <f t="shared" si="13"/>
        <v>EU PROJEKTI SVEUČILIŠTE U SPLITU (IZ EVIDENCIJSKIH PRIHODA)</v>
      </c>
      <c r="I108" s="198">
        <v>37500</v>
      </c>
      <c r="J108" s="198">
        <v>0</v>
      </c>
      <c r="K108" s="198">
        <v>0</v>
      </c>
      <c r="M108" s="144" t="str">
        <f t="shared" si="14"/>
        <v>422</v>
      </c>
      <c r="N108" s="144" t="str">
        <f t="shared" si="15"/>
        <v>42</v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>08006</v>
      </c>
      <c r="B109" s="148" t="str">
        <f>IF(C109="","",VLOOKUP('Opći dio'!$C$3,'Opći dio'!$L$6:$U$135,9,FALSE))</f>
        <v>Sveučilišta i veleučilišta u Republici Hrvatskoj</v>
      </c>
      <c r="C109" s="154">
        <v>51</v>
      </c>
      <c r="D109" s="149" t="str">
        <f t="shared" si="12"/>
        <v>Pomoći EU</v>
      </c>
      <c r="E109" s="154">
        <v>4224</v>
      </c>
      <c r="F109" s="149" t="str">
        <f t="shared" si="11"/>
        <v>Medicinska i laboratorijska oprema</v>
      </c>
      <c r="G109" s="201" t="s">
        <v>154</v>
      </c>
      <c r="H109" s="149" t="str">
        <f t="shared" si="13"/>
        <v>EU PROJEKTI SVEUČILIŠTE U SPLITU (IZ EVIDENCIJSKIH PRIHODA)</v>
      </c>
      <c r="I109" s="198">
        <v>149850</v>
      </c>
      <c r="J109" s="198">
        <v>0</v>
      </c>
      <c r="K109" s="198">
        <v>0</v>
      </c>
      <c r="M109" s="144" t="str">
        <f t="shared" si="14"/>
        <v>422</v>
      </c>
      <c r="N109" s="144" t="str">
        <f t="shared" si="15"/>
        <v>42</v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>08006</v>
      </c>
      <c r="B110" s="148" t="str">
        <f>IF(C110="","",VLOOKUP('Opći dio'!$C$3,'Opći dio'!$L$6:$U$135,9,FALSE))</f>
        <v>Sveučilišta i veleučilišta u Republici Hrvatskoj</v>
      </c>
      <c r="C110" s="154">
        <v>51</v>
      </c>
      <c r="D110" s="149" t="str">
        <f t="shared" si="12"/>
        <v>Pomoći EU</v>
      </c>
      <c r="E110" s="154">
        <v>4262</v>
      </c>
      <c r="F110" s="149" t="str">
        <f t="shared" si="11"/>
        <v>Ulaganja u računalne programe</v>
      </c>
      <c r="G110" s="201" t="s">
        <v>154</v>
      </c>
      <c r="H110" s="149" t="str">
        <f t="shared" si="13"/>
        <v>EU PROJEKTI SVEUČILIŠTE U SPLITU (IZ EVIDENCIJSKIH PRIHODA)</v>
      </c>
      <c r="I110" s="198">
        <v>122100</v>
      </c>
      <c r="J110" s="198">
        <v>0</v>
      </c>
      <c r="K110" s="198">
        <v>0</v>
      </c>
      <c r="M110" s="144" t="str">
        <f t="shared" si="14"/>
        <v>426</v>
      </c>
      <c r="N110" s="144" t="str">
        <f t="shared" si="15"/>
        <v>42</v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>08006</v>
      </c>
      <c r="B111" s="148" t="str">
        <f>IF(C111="","",VLOOKUP('Opći dio'!$C$3,'Opći dio'!$L$6:$U$135,9,FALSE))</f>
        <v>Sveučilišta i veleučilišta u Republici Hrvatskoj</v>
      </c>
      <c r="C111" s="154">
        <v>51</v>
      </c>
      <c r="D111" s="149" t="str">
        <f t="shared" si="12"/>
        <v>Pomoći EU</v>
      </c>
      <c r="E111" s="154">
        <v>3113</v>
      </c>
      <c r="F111" s="149" t="str">
        <f t="shared" si="11"/>
        <v>Plaće za prekovremeni rad</v>
      </c>
      <c r="G111" s="201" t="s">
        <v>154</v>
      </c>
      <c r="H111" s="149" t="str">
        <f t="shared" si="13"/>
        <v>EU PROJEKTI SVEUČILIŠTE U SPLITU (IZ EVIDENCIJSKIH PRIHODA)</v>
      </c>
      <c r="I111" s="198">
        <v>51502</v>
      </c>
      <c r="J111" s="198">
        <v>51502</v>
      </c>
      <c r="K111" s="198">
        <v>8584</v>
      </c>
      <c r="M111" s="144" t="str">
        <f t="shared" si="14"/>
        <v>311</v>
      </c>
      <c r="N111" s="144" t="str">
        <f t="shared" si="15"/>
        <v>31</v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>08006</v>
      </c>
      <c r="B112" s="148" t="str">
        <f>IF(C112="","",VLOOKUP('Opći dio'!$C$3,'Opći dio'!$L$6:$U$135,9,FALSE))</f>
        <v>Sveučilišta i veleučilišta u Republici Hrvatskoj</v>
      </c>
      <c r="C112" s="154">
        <v>52</v>
      </c>
      <c r="D112" s="149" t="str">
        <f t="shared" si="12"/>
        <v>Ostale pomoći</v>
      </c>
      <c r="E112" s="154">
        <v>3235</v>
      </c>
      <c r="F112" s="149" t="str">
        <f t="shared" si="11"/>
        <v>Zakupnine i najamnine</v>
      </c>
      <c r="G112" s="201" t="s">
        <v>200</v>
      </c>
      <c r="H112" s="149" t="str">
        <f t="shared" si="13"/>
        <v>REDOVNA DJELATNOST SVEUČILIŠTA U SPLITU (IZ EVIDENCIJSKIH PRIHODA)</v>
      </c>
      <c r="I112" s="198">
        <v>43000</v>
      </c>
      <c r="J112" s="198">
        <v>43000</v>
      </c>
      <c r="K112" s="198">
        <v>43000</v>
      </c>
      <c r="M112" s="144" t="str">
        <f t="shared" si="14"/>
        <v>323</v>
      </c>
      <c r="N112" s="144" t="str">
        <f t="shared" si="15"/>
        <v>32</v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>08006</v>
      </c>
      <c r="B113" s="148" t="str">
        <f>IF(C113="","",VLOOKUP('Opći dio'!$C$3,'Opći dio'!$L$6:$U$135,9,FALSE))</f>
        <v>Sveučilišta i veleučilišta u Republici Hrvatskoj</v>
      </c>
      <c r="C113" s="154">
        <v>52</v>
      </c>
      <c r="D113" s="149" t="str">
        <f t="shared" si="12"/>
        <v>Ostale pomoći</v>
      </c>
      <c r="E113" s="154">
        <v>3239</v>
      </c>
      <c r="F113" s="149" t="str">
        <f t="shared" si="11"/>
        <v>Ostale usluge</v>
      </c>
      <c r="G113" s="201" t="s">
        <v>200</v>
      </c>
      <c r="H113" s="149" t="str">
        <f t="shared" si="13"/>
        <v>REDOVNA DJELATNOST SVEUČILIŠTA U SPLITU (IZ EVIDENCIJSKIH PRIHODA)</v>
      </c>
      <c r="I113" s="198">
        <v>7000</v>
      </c>
      <c r="J113" s="198">
        <v>7000</v>
      </c>
      <c r="K113" s="198">
        <v>7000</v>
      </c>
      <c r="M113" s="144" t="str">
        <f t="shared" si="14"/>
        <v>323</v>
      </c>
      <c r="N113" s="144" t="str">
        <f t="shared" si="15"/>
        <v>32</v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>08006</v>
      </c>
      <c r="B114" s="148" t="str">
        <f>IF(C114="","",VLOOKUP('Opći dio'!$C$3,'Opći dio'!$L$6:$U$135,9,FALSE))</f>
        <v>Sveučilišta i veleučilišta u Republici Hrvatskoj</v>
      </c>
      <c r="C114" s="154">
        <v>52</v>
      </c>
      <c r="D114" s="149" t="str">
        <f t="shared" si="12"/>
        <v>Ostale pomoći</v>
      </c>
      <c r="E114" s="154">
        <v>3241</v>
      </c>
      <c r="F114" s="149" t="str">
        <f t="shared" si="11"/>
        <v>Naknade troškova osobama izvan radnog odnosa</v>
      </c>
      <c r="G114" s="201" t="s">
        <v>200</v>
      </c>
      <c r="H114" s="149" t="str">
        <f t="shared" si="13"/>
        <v>REDOVNA DJELATNOST SVEUČILIŠTA U SPLITU (IZ EVIDENCIJSKIH PRIHODA)</v>
      </c>
      <c r="I114" s="198">
        <v>20000</v>
      </c>
      <c r="J114" s="198">
        <v>20000</v>
      </c>
      <c r="K114" s="198">
        <v>20000</v>
      </c>
      <c r="M114" s="144" t="str">
        <f t="shared" si="14"/>
        <v>324</v>
      </c>
      <c r="N114" s="144" t="str">
        <f t="shared" si="15"/>
        <v>32</v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>08006</v>
      </c>
      <c r="B115" s="148" t="str">
        <f>IF(C115="","",VLOOKUP('Opći dio'!$C$3,'Opći dio'!$L$6:$U$135,9,FALSE))</f>
        <v>Sveučilišta i veleučilišta u Republici Hrvatskoj</v>
      </c>
      <c r="C115" s="154">
        <v>52</v>
      </c>
      <c r="D115" s="149" t="str">
        <f t="shared" si="12"/>
        <v>Ostale pomoći</v>
      </c>
      <c r="E115" s="154">
        <v>3211</v>
      </c>
      <c r="F115" s="149" t="str">
        <f t="shared" si="11"/>
        <v>Službena putovanja</v>
      </c>
      <c r="G115" s="201" t="s">
        <v>200</v>
      </c>
      <c r="H115" s="149" t="str">
        <f t="shared" si="13"/>
        <v>REDOVNA DJELATNOST SVEUČILIŠTA U SPLITU (IZ EVIDENCIJSKIH PRIHODA)</v>
      </c>
      <c r="I115" s="198">
        <v>67238</v>
      </c>
      <c r="J115" s="198">
        <v>68000</v>
      </c>
      <c r="K115" s="198">
        <v>68000</v>
      </c>
      <c r="M115" s="144" t="str">
        <f t="shared" si="14"/>
        <v>321</v>
      </c>
      <c r="N115" s="144" t="str">
        <f t="shared" si="15"/>
        <v>32</v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>08006</v>
      </c>
      <c r="B116" s="148" t="str">
        <f>IF(C116="","",VLOOKUP('Opći dio'!$C$3,'Opći dio'!$L$6:$U$135,9,FALSE))</f>
        <v>Sveučilišta i veleučilišta u Republici Hrvatskoj</v>
      </c>
      <c r="C116" s="154">
        <v>563</v>
      </c>
      <c r="D116" s="149" t="str">
        <f t="shared" si="12"/>
        <v>Europski fond za regionalni razvoj (ERDF)</v>
      </c>
      <c r="E116" s="154">
        <v>3111</v>
      </c>
      <c r="F116" s="149" t="str">
        <f t="shared" si="11"/>
        <v>Plaće za redovan rad</v>
      </c>
      <c r="G116" s="201" t="s">
        <v>287</v>
      </c>
      <c r="H116" s="149" t="str">
        <f t="shared" si="13"/>
        <v>OP KONKURENTNOST I KOHEZIJA 2014.-2020., PRIORITET 1 i 10</v>
      </c>
      <c r="I116" s="198">
        <v>97474</v>
      </c>
      <c r="J116" s="198">
        <v>16246</v>
      </c>
      <c r="K116" s="198">
        <v>0</v>
      </c>
      <c r="M116" s="144" t="str">
        <f t="shared" si="14"/>
        <v>311</v>
      </c>
      <c r="N116" s="144" t="str">
        <f t="shared" si="15"/>
        <v>31</v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>08006</v>
      </c>
      <c r="B117" s="148" t="str">
        <f>IF(C117="","",VLOOKUP('Opći dio'!$C$3,'Opći dio'!$L$6:$U$135,9,FALSE))</f>
        <v>Sveučilišta i veleučilišta u Republici Hrvatskoj</v>
      </c>
      <c r="C117" s="154">
        <v>563</v>
      </c>
      <c r="D117" s="149" t="str">
        <f t="shared" si="12"/>
        <v>Europski fond za regionalni razvoj (ERDF)</v>
      </c>
      <c r="E117" s="154">
        <v>3132</v>
      </c>
      <c r="F117" s="149" t="str">
        <f t="shared" si="11"/>
        <v>Doprinosi za obvezno zdravstveno osiguranje</v>
      </c>
      <c r="G117" s="201" t="s">
        <v>287</v>
      </c>
      <c r="H117" s="149" t="str">
        <f t="shared" si="13"/>
        <v>OP KONKURENTNOST I KOHEZIJA 2014.-2020., PRIORITET 1 i 10</v>
      </c>
      <c r="I117" s="198">
        <v>16766</v>
      </c>
      <c r="J117" s="198">
        <v>2794</v>
      </c>
      <c r="K117" s="198">
        <v>0</v>
      </c>
      <c r="M117" s="144" t="str">
        <f t="shared" si="14"/>
        <v>313</v>
      </c>
      <c r="N117" s="144" t="str">
        <f t="shared" si="15"/>
        <v>31</v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>08006</v>
      </c>
      <c r="B118" s="148" t="str">
        <f>IF(C118="","",VLOOKUP('Opći dio'!$C$3,'Opći dio'!$L$6:$U$135,9,FALSE))</f>
        <v>Sveučilišta i veleučilišta u Republici Hrvatskoj</v>
      </c>
      <c r="C118" s="154">
        <v>563</v>
      </c>
      <c r="D118" s="149" t="str">
        <f t="shared" si="12"/>
        <v>Europski fond za regionalni razvoj (ERDF)</v>
      </c>
      <c r="E118" s="154">
        <v>3221</v>
      </c>
      <c r="F118" s="149" t="str">
        <f t="shared" si="11"/>
        <v>Uredski materijal i ostali materijalni rashodi</v>
      </c>
      <c r="G118" s="201" t="s">
        <v>287</v>
      </c>
      <c r="H118" s="149" t="str">
        <f t="shared" si="13"/>
        <v>OP KONKURENTNOST I KOHEZIJA 2014.-2020., PRIORITET 1 i 10</v>
      </c>
      <c r="I118" s="198">
        <v>18318</v>
      </c>
      <c r="J118" s="198">
        <v>3053</v>
      </c>
      <c r="K118" s="198">
        <v>0</v>
      </c>
      <c r="M118" s="144" t="str">
        <f t="shared" si="14"/>
        <v>322</v>
      </c>
      <c r="N118" s="144" t="str">
        <f t="shared" si="15"/>
        <v>32</v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>08006</v>
      </c>
      <c r="B119" s="148" t="str">
        <f>IF(C119="","",VLOOKUP('Opći dio'!$C$3,'Opći dio'!$L$6:$U$135,9,FALSE))</f>
        <v>Sveučilišta i veleučilišta u Republici Hrvatskoj</v>
      </c>
      <c r="C119" s="154">
        <v>563</v>
      </c>
      <c r="D119" s="149" t="str">
        <f t="shared" si="12"/>
        <v>Europski fond za regionalni razvoj (ERDF)</v>
      </c>
      <c r="E119" s="154">
        <v>3233</v>
      </c>
      <c r="F119" s="149" t="str">
        <f t="shared" si="11"/>
        <v>Usluge promidžbe i informiranja</v>
      </c>
      <c r="G119" s="201" t="s">
        <v>287</v>
      </c>
      <c r="H119" s="149" t="str">
        <f t="shared" si="13"/>
        <v>OP KONKURENTNOST I KOHEZIJA 2014.-2020., PRIORITET 1 i 10</v>
      </c>
      <c r="I119" s="198">
        <v>29481</v>
      </c>
      <c r="J119" s="198">
        <v>0</v>
      </c>
      <c r="K119" s="198">
        <v>0</v>
      </c>
      <c r="M119" s="144" t="str">
        <f t="shared" si="14"/>
        <v>323</v>
      </c>
      <c r="N119" s="144" t="str">
        <f t="shared" si="15"/>
        <v>32</v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>08006</v>
      </c>
      <c r="B120" s="148" t="str">
        <f>IF(C120="","",VLOOKUP('Opći dio'!$C$3,'Opći dio'!$L$6:$U$135,9,FALSE))</f>
        <v>Sveučilišta i veleučilišta u Republici Hrvatskoj</v>
      </c>
      <c r="C120" s="154">
        <v>563</v>
      </c>
      <c r="D120" s="149" t="str">
        <f t="shared" si="12"/>
        <v>Europski fond za regionalni razvoj (ERDF)</v>
      </c>
      <c r="E120" s="154">
        <v>3237</v>
      </c>
      <c r="F120" s="149" t="str">
        <f t="shared" si="11"/>
        <v>Intelektualne i osobne usluge</v>
      </c>
      <c r="G120" s="201" t="s">
        <v>287</v>
      </c>
      <c r="H120" s="149" t="str">
        <f t="shared" si="13"/>
        <v>OP KONKURENTNOST I KOHEZIJA 2014.-2020., PRIORITET 1 i 10</v>
      </c>
      <c r="I120" s="198">
        <v>493000</v>
      </c>
      <c r="J120" s="198">
        <v>85000</v>
      </c>
      <c r="K120" s="198">
        <v>0</v>
      </c>
      <c r="M120" s="144" t="str">
        <f t="shared" si="14"/>
        <v>323</v>
      </c>
      <c r="N120" s="144" t="str">
        <f t="shared" si="15"/>
        <v>32</v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>08006</v>
      </c>
      <c r="B121" s="148" t="str">
        <f>IF(C121="","",VLOOKUP('Opći dio'!$C$3,'Opći dio'!$L$6:$U$135,9,FALSE))</f>
        <v>Sveučilišta i veleučilišta u Republici Hrvatskoj</v>
      </c>
      <c r="C121" s="154">
        <v>563</v>
      </c>
      <c r="D121" s="149" t="str">
        <f t="shared" si="12"/>
        <v>Europski fond za regionalni razvoj (ERDF)</v>
      </c>
      <c r="E121" s="154">
        <v>3293</v>
      </c>
      <c r="F121" s="149" t="str">
        <f t="shared" si="11"/>
        <v>Reprezentacija</v>
      </c>
      <c r="G121" s="201" t="s">
        <v>287</v>
      </c>
      <c r="H121" s="149" t="str">
        <f t="shared" si="13"/>
        <v>OP KONKURENTNOST I KOHEZIJA 2014.-2020., PRIORITET 1 i 10</v>
      </c>
      <c r="I121" s="198">
        <v>12750</v>
      </c>
      <c r="J121" s="198">
        <v>0</v>
      </c>
      <c r="K121" s="198">
        <v>0</v>
      </c>
      <c r="M121" s="144" t="str">
        <f t="shared" si="14"/>
        <v>329</v>
      </c>
      <c r="N121" s="144" t="str">
        <f t="shared" si="15"/>
        <v>32</v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>08006</v>
      </c>
      <c r="B122" s="148" t="str">
        <f>IF(C122="","",VLOOKUP('Opći dio'!$C$3,'Opći dio'!$L$6:$U$135,9,FALSE))</f>
        <v>Sveučilišta i veleučilišta u Republici Hrvatskoj</v>
      </c>
      <c r="C122" s="154">
        <v>563</v>
      </c>
      <c r="D122" s="149" t="str">
        <f t="shared" si="12"/>
        <v>Europski fond za regionalni razvoj (ERDF)</v>
      </c>
      <c r="E122" s="154">
        <v>4212</v>
      </c>
      <c r="F122" s="149" t="str">
        <f t="shared" si="11"/>
        <v>Poslovni objekti</v>
      </c>
      <c r="G122" s="201" t="s">
        <v>287</v>
      </c>
      <c r="H122" s="149" t="str">
        <f t="shared" si="13"/>
        <v>OP KONKURENTNOST I KOHEZIJA 2014.-2020., PRIORITET 1 i 10</v>
      </c>
      <c r="I122" s="198">
        <v>16847490</v>
      </c>
      <c r="J122" s="198">
        <v>0</v>
      </c>
      <c r="K122" s="198">
        <v>0</v>
      </c>
      <c r="M122" s="144" t="str">
        <f t="shared" si="14"/>
        <v>421</v>
      </c>
      <c r="N122" s="144" t="str">
        <f t="shared" si="15"/>
        <v>42</v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>08006</v>
      </c>
      <c r="B123" s="148" t="str">
        <f>IF(C123="","",VLOOKUP('Opći dio'!$C$3,'Opći dio'!$L$6:$U$135,9,FALSE))</f>
        <v>Sveučilišta i veleučilišta u Republici Hrvatskoj</v>
      </c>
      <c r="C123" s="154">
        <v>563</v>
      </c>
      <c r="D123" s="149" t="str">
        <f t="shared" si="12"/>
        <v>Europski fond za regionalni razvoj (ERDF)</v>
      </c>
      <c r="E123" s="154">
        <v>4221</v>
      </c>
      <c r="F123" s="149" t="str">
        <f t="shared" si="11"/>
        <v>Uredska oprema i namještaj</v>
      </c>
      <c r="G123" s="201" t="s">
        <v>287</v>
      </c>
      <c r="H123" s="149" t="str">
        <f t="shared" si="13"/>
        <v>OP KONKURENTNOST I KOHEZIJA 2014.-2020., PRIORITET 1 i 10</v>
      </c>
      <c r="I123" s="198">
        <v>2089787</v>
      </c>
      <c r="J123" s="198">
        <v>0</v>
      </c>
      <c r="K123" s="198">
        <v>0</v>
      </c>
      <c r="M123" s="144" t="str">
        <f t="shared" si="14"/>
        <v>422</v>
      </c>
      <c r="N123" s="144" t="str">
        <f t="shared" si="15"/>
        <v>42</v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>08006</v>
      </c>
      <c r="B124" s="148" t="str">
        <f>IF(C124="","",VLOOKUP('Opći dio'!$C$3,'Opći dio'!$L$6:$U$135,9,FALSE))</f>
        <v>Sveučilišta i veleučilišta u Republici Hrvatskoj</v>
      </c>
      <c r="C124" s="154">
        <v>563</v>
      </c>
      <c r="D124" s="149" t="str">
        <f t="shared" si="12"/>
        <v>Europski fond za regionalni razvoj (ERDF)</v>
      </c>
      <c r="E124" s="154">
        <v>4224</v>
      </c>
      <c r="F124" s="149" t="str">
        <f t="shared" si="11"/>
        <v>Medicinska i laboratorijska oprema</v>
      </c>
      <c r="G124" s="201" t="s">
        <v>287</v>
      </c>
      <c r="H124" s="149" t="str">
        <f t="shared" si="13"/>
        <v>OP KONKURENTNOST I KOHEZIJA 2014.-2020., PRIORITET 1 i 10</v>
      </c>
      <c r="I124" s="198">
        <v>33999997</v>
      </c>
      <c r="J124" s="198">
        <v>0</v>
      </c>
      <c r="K124" s="198">
        <v>0</v>
      </c>
      <c r="M124" s="144" t="str">
        <f t="shared" si="14"/>
        <v>422</v>
      </c>
      <c r="N124" s="144" t="str">
        <f t="shared" si="15"/>
        <v>42</v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>08006</v>
      </c>
      <c r="B125" s="148" t="str">
        <f>IF(C125="","",VLOOKUP('Opći dio'!$C$3,'Opći dio'!$L$6:$U$135,9,FALSE))</f>
        <v>Sveučilišta i veleučilišta u Republici Hrvatskoj</v>
      </c>
      <c r="C125" s="154">
        <v>563</v>
      </c>
      <c r="D125" s="149" t="str">
        <f t="shared" si="12"/>
        <v>Europski fond za regionalni razvoj (ERDF)</v>
      </c>
      <c r="E125" s="154">
        <v>4262</v>
      </c>
      <c r="F125" s="149" t="str">
        <f t="shared" si="11"/>
        <v>Ulaganja u računalne programe</v>
      </c>
      <c r="G125" s="201" t="s">
        <v>287</v>
      </c>
      <c r="H125" s="149" t="str">
        <f t="shared" si="13"/>
        <v>OP KONKURENTNOST I KOHEZIJA 2014.-2020., PRIORITET 1 i 10</v>
      </c>
      <c r="I125" s="198">
        <v>833000</v>
      </c>
      <c r="J125" s="198">
        <v>0</v>
      </c>
      <c r="K125" s="198">
        <v>0</v>
      </c>
      <c r="M125" s="144" t="str">
        <f t="shared" si="14"/>
        <v>426</v>
      </c>
      <c r="N125" s="144" t="str">
        <f t="shared" si="15"/>
        <v>42</v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>08006</v>
      </c>
      <c r="B126" s="148" t="str">
        <f>IF(C126="","",VLOOKUP('Opći dio'!$C$3,'Opći dio'!$L$6:$U$135,9,FALSE))</f>
        <v>Sveučilišta i veleučilišta u Republici Hrvatskoj</v>
      </c>
      <c r="C126" s="154">
        <v>563</v>
      </c>
      <c r="D126" s="149" t="str">
        <f t="shared" si="12"/>
        <v>Europski fond za regionalni razvoj (ERDF)</v>
      </c>
      <c r="E126" s="154">
        <v>3212</v>
      </c>
      <c r="F126" s="149" t="str">
        <f t="shared" si="11"/>
        <v>Naknade za prijevoz, za rad na terenu i odvojeni život</v>
      </c>
      <c r="G126" s="201" t="s">
        <v>287</v>
      </c>
      <c r="H126" s="149" t="str">
        <f t="shared" si="13"/>
        <v>OP KONKURENTNOST I KOHEZIJA 2014.-2020., PRIORITET 1 i 10</v>
      </c>
      <c r="I126" s="198">
        <v>2958</v>
      </c>
      <c r="J126" s="198">
        <v>493</v>
      </c>
      <c r="K126" s="198">
        <v>0</v>
      </c>
      <c r="M126" s="144" t="str">
        <f t="shared" si="14"/>
        <v>321</v>
      </c>
      <c r="N126" s="144" t="str">
        <f t="shared" si="15"/>
        <v>32</v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>08006</v>
      </c>
      <c r="B127" s="148" t="str">
        <f>IF(C127="","",VLOOKUP('Opći dio'!$C$3,'Opći dio'!$L$6:$U$135,9,FALSE))</f>
        <v>Sveučilišta i veleučilišta u Republici Hrvatskoj</v>
      </c>
      <c r="C127" s="154">
        <v>12</v>
      </c>
      <c r="D127" s="149" t="str">
        <f t="shared" si="12"/>
        <v>Sredstva učešća za pomoći</v>
      </c>
      <c r="E127" s="154">
        <v>3111</v>
      </c>
      <c r="F127" s="149" t="str">
        <f t="shared" si="11"/>
        <v>Plaće za redovan rad</v>
      </c>
      <c r="G127" s="201" t="s">
        <v>287</v>
      </c>
      <c r="H127" s="149" t="str">
        <f t="shared" si="13"/>
        <v>OP KONKURENTNOST I KOHEZIJA 2014.-2020., PRIORITET 1 i 10</v>
      </c>
      <c r="I127" s="198">
        <v>17201</v>
      </c>
      <c r="J127" s="198">
        <v>2867</v>
      </c>
      <c r="K127" s="198">
        <v>0</v>
      </c>
      <c r="M127" s="144" t="str">
        <f t="shared" si="14"/>
        <v>311</v>
      </c>
      <c r="N127" s="144" t="str">
        <f t="shared" si="15"/>
        <v>31</v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>08006</v>
      </c>
      <c r="B128" s="148" t="str">
        <f>IF(C128="","",VLOOKUP('Opći dio'!$C$3,'Opći dio'!$L$6:$U$135,9,FALSE))</f>
        <v>Sveučilišta i veleučilišta u Republici Hrvatskoj</v>
      </c>
      <c r="C128" s="154">
        <v>12</v>
      </c>
      <c r="D128" s="149" t="str">
        <f t="shared" si="12"/>
        <v>Sredstva učešća za pomoći</v>
      </c>
      <c r="E128" s="154">
        <v>3132</v>
      </c>
      <c r="F128" s="149" t="str">
        <f t="shared" si="11"/>
        <v>Doprinosi za obvezno zdravstveno osiguranje</v>
      </c>
      <c r="G128" s="201" t="s">
        <v>287</v>
      </c>
      <c r="H128" s="149" t="str">
        <f t="shared" si="13"/>
        <v>OP KONKURENTNOST I KOHEZIJA 2014.-2020., PRIORITET 1 i 10</v>
      </c>
      <c r="I128" s="198">
        <v>2959</v>
      </c>
      <c r="J128" s="198">
        <v>493</v>
      </c>
      <c r="K128" s="198">
        <v>0</v>
      </c>
      <c r="M128" s="144" t="str">
        <f t="shared" si="14"/>
        <v>313</v>
      </c>
      <c r="N128" s="144" t="str">
        <f t="shared" si="15"/>
        <v>31</v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>08006</v>
      </c>
      <c r="B129" s="148" t="str">
        <f>IF(C129="","",VLOOKUP('Opći dio'!$C$3,'Opći dio'!$L$6:$U$135,9,FALSE))</f>
        <v>Sveučilišta i veleučilišta u Republici Hrvatskoj</v>
      </c>
      <c r="C129" s="154">
        <v>12</v>
      </c>
      <c r="D129" s="149" t="str">
        <f t="shared" si="12"/>
        <v>Sredstva učešća za pomoći</v>
      </c>
      <c r="E129" s="154">
        <v>3212</v>
      </c>
      <c r="F129" s="149" t="str">
        <f t="shared" si="11"/>
        <v>Naknade za prijevoz, za rad na terenu i odvojeni život</v>
      </c>
      <c r="G129" s="201" t="s">
        <v>287</v>
      </c>
      <c r="H129" s="149" t="str">
        <f t="shared" si="13"/>
        <v>OP KONKURENTNOST I KOHEZIJA 2014.-2020., PRIORITET 1 i 10</v>
      </c>
      <c r="I129" s="198">
        <v>522</v>
      </c>
      <c r="J129" s="198">
        <v>87</v>
      </c>
      <c r="K129" s="198">
        <v>0</v>
      </c>
      <c r="M129" s="144" t="str">
        <f t="shared" si="14"/>
        <v>321</v>
      </c>
      <c r="N129" s="144" t="str">
        <f t="shared" si="15"/>
        <v>32</v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>08006</v>
      </c>
      <c r="B130" s="148" t="str">
        <f>IF(C130="","",VLOOKUP('Opći dio'!$C$3,'Opći dio'!$L$6:$U$135,9,FALSE))</f>
        <v>Sveučilišta i veleučilišta u Republici Hrvatskoj</v>
      </c>
      <c r="C130" s="154">
        <v>12</v>
      </c>
      <c r="D130" s="149" t="str">
        <f t="shared" si="12"/>
        <v>Sredstva učešća za pomoći</v>
      </c>
      <c r="E130" s="154">
        <v>3221</v>
      </c>
      <c r="F130" s="149" t="str">
        <f t="shared" si="11"/>
        <v>Uredski materijal i ostali materijalni rashodi</v>
      </c>
      <c r="G130" s="201" t="s">
        <v>287</v>
      </c>
      <c r="H130" s="149" t="str">
        <f t="shared" si="13"/>
        <v>OP KONKURENTNOST I KOHEZIJA 2014.-2020., PRIORITET 1 i 10</v>
      </c>
      <c r="I130" s="198">
        <v>3233</v>
      </c>
      <c r="J130" s="198">
        <v>539</v>
      </c>
      <c r="K130" s="198">
        <v>0</v>
      </c>
      <c r="M130" s="144" t="str">
        <f t="shared" si="14"/>
        <v>322</v>
      </c>
      <c r="N130" s="144" t="str">
        <f t="shared" si="15"/>
        <v>32</v>
      </c>
    </row>
    <row r="131" spans="1:22">
      <c r="A131" s="148" t="str">
        <f>IF(C131="","",VLOOKUP('Opći dio'!$C$3,'Opći dio'!$L$6:$U$135,10,FALSE))</f>
        <v>08006</v>
      </c>
      <c r="B131" s="148" t="str">
        <f>IF(C131="","",VLOOKUP('Opći dio'!$C$3,'Opći dio'!$L$6:$U$135,9,FALSE))</f>
        <v>Sveučilišta i veleučilišta u Republici Hrvatskoj</v>
      </c>
      <c r="C131" s="154">
        <v>12</v>
      </c>
      <c r="D131" s="149" t="str">
        <f t="shared" si="12"/>
        <v>Sredstva učešća za pomoći</v>
      </c>
      <c r="E131" s="154">
        <v>3233</v>
      </c>
      <c r="F131" s="149" t="str">
        <f t="shared" ref="F131:F194" si="24">IFERROR(VLOOKUP(E131,$R$5:$T$129,2,FALSE),"")</f>
        <v>Usluge promidžbe i informiranja</v>
      </c>
      <c r="G131" s="201" t="s">
        <v>287</v>
      </c>
      <c r="H131" s="149" t="str">
        <f t="shared" si="13"/>
        <v>OP KONKURENTNOST I KOHEZIJA 2014.-2020., PRIORITET 1 i 10</v>
      </c>
      <c r="I131" s="198">
        <v>5203</v>
      </c>
      <c r="J131" s="198">
        <v>0</v>
      </c>
      <c r="K131" s="198">
        <v>0</v>
      </c>
      <c r="M131" s="144" t="str">
        <f t="shared" si="14"/>
        <v>323</v>
      </c>
      <c r="N131" s="144" t="str">
        <f t="shared" si="15"/>
        <v>32</v>
      </c>
    </row>
    <row r="132" spans="1:22">
      <c r="A132" s="148" t="str">
        <f>IF(C132="","",VLOOKUP('Opći dio'!$C$3,'Opći dio'!$L$6:$U$135,10,FALSE))</f>
        <v>08006</v>
      </c>
      <c r="B132" s="148" t="str">
        <f>IF(C132="","",VLOOKUP('Opći dio'!$C$3,'Opći dio'!$L$6:$U$135,9,FALSE))</f>
        <v>Sveučilišta i veleučilišta u Republici Hrvatskoj</v>
      </c>
      <c r="C132" s="154">
        <v>12</v>
      </c>
      <c r="D132" s="149" t="str">
        <f t="shared" ref="D132:D195" si="25">IFERROR(VLOOKUP(C132,$O$6:$P$16,2,FALSE),"")</f>
        <v>Sredstva učešća za pomoći</v>
      </c>
      <c r="E132" s="154">
        <v>3237</v>
      </c>
      <c r="F132" s="149" t="str">
        <f t="shared" si="24"/>
        <v>Intelektualne i osobne usluge</v>
      </c>
      <c r="G132" s="201" t="s">
        <v>287</v>
      </c>
      <c r="H132" s="149" t="str">
        <f t="shared" ref="H132:H195" si="26">IFERROR(VLOOKUP(G132,$X$6:$Y$50,2,FALSE),"")</f>
        <v>OP KONKURENTNOST I KOHEZIJA 2014.-2020., PRIORITET 1 i 10</v>
      </c>
      <c r="I132" s="198">
        <v>87000</v>
      </c>
      <c r="J132" s="198">
        <v>15000</v>
      </c>
      <c r="K132" s="198">
        <v>0</v>
      </c>
      <c r="M132" s="144" t="str">
        <f t="shared" ref="M132:M195" si="27">LEFT(E132,3)</f>
        <v>323</v>
      </c>
      <c r="N132" s="144" t="str">
        <f t="shared" ref="N132:N195" si="28">LEFT(E132,2)</f>
        <v>32</v>
      </c>
    </row>
    <row r="133" spans="1:22">
      <c r="A133" s="148" t="str">
        <f>IF(C133="","",VLOOKUP('Opći dio'!$C$3,'Opći dio'!$L$6:$U$135,10,FALSE))</f>
        <v>08006</v>
      </c>
      <c r="B133" s="148" t="str">
        <f>IF(C133="","",VLOOKUP('Opći dio'!$C$3,'Opći dio'!$L$6:$U$135,9,FALSE))</f>
        <v>Sveučilišta i veleučilišta u Republici Hrvatskoj</v>
      </c>
      <c r="C133" s="154">
        <v>12</v>
      </c>
      <c r="D133" s="149" t="str">
        <f t="shared" si="25"/>
        <v>Sredstva učešća za pomoći</v>
      </c>
      <c r="E133" s="154">
        <v>3293</v>
      </c>
      <c r="F133" s="149" t="str">
        <f t="shared" si="24"/>
        <v>Reprezentacija</v>
      </c>
      <c r="G133" s="201" t="s">
        <v>287</v>
      </c>
      <c r="H133" s="149" t="str">
        <f t="shared" si="26"/>
        <v>OP KONKURENTNOST I KOHEZIJA 2014.-2020., PRIORITET 1 i 10</v>
      </c>
      <c r="I133" s="198">
        <v>2250</v>
      </c>
      <c r="J133" s="198">
        <v>0</v>
      </c>
      <c r="K133" s="198">
        <v>0</v>
      </c>
      <c r="M133" s="144" t="str">
        <f t="shared" si="27"/>
        <v>329</v>
      </c>
      <c r="N133" s="144" t="str">
        <f t="shared" si="28"/>
        <v>32</v>
      </c>
    </row>
    <row r="134" spans="1:22">
      <c r="A134" s="148" t="str">
        <f>IF(C134="","",VLOOKUP('Opći dio'!$C$3,'Opći dio'!$L$6:$U$135,10,FALSE))</f>
        <v>08006</v>
      </c>
      <c r="B134" s="148" t="str">
        <f>IF(C134="","",VLOOKUP('Opći dio'!$C$3,'Opći dio'!$L$6:$U$135,9,FALSE))</f>
        <v>Sveučilišta i veleučilišta u Republici Hrvatskoj</v>
      </c>
      <c r="C134" s="154">
        <v>12</v>
      </c>
      <c r="D134" s="149" t="str">
        <f t="shared" si="25"/>
        <v>Sredstva učešća za pomoći</v>
      </c>
      <c r="E134" s="154">
        <v>4212</v>
      </c>
      <c r="F134" s="149" t="str">
        <f t="shared" si="24"/>
        <v>Poslovni objekti</v>
      </c>
      <c r="G134" s="201" t="s">
        <v>287</v>
      </c>
      <c r="H134" s="149" t="str">
        <f t="shared" si="26"/>
        <v>OP KONKURENTNOST I KOHEZIJA 2014.-2020., PRIORITET 1 i 10</v>
      </c>
      <c r="I134" s="198">
        <v>2973086</v>
      </c>
      <c r="J134" s="198">
        <v>0</v>
      </c>
      <c r="K134" s="198">
        <v>0</v>
      </c>
      <c r="M134" s="144" t="str">
        <f t="shared" si="27"/>
        <v>421</v>
      </c>
      <c r="N134" s="144" t="str">
        <f t="shared" si="28"/>
        <v>42</v>
      </c>
    </row>
    <row r="135" spans="1:22">
      <c r="A135" s="148" t="str">
        <f>IF(C135="","",VLOOKUP('Opći dio'!$C$3,'Opći dio'!$L$6:$U$135,10,FALSE))</f>
        <v>08006</v>
      </c>
      <c r="B135" s="148" t="str">
        <f>IF(C135="","",VLOOKUP('Opći dio'!$C$3,'Opći dio'!$L$6:$U$135,9,FALSE))</f>
        <v>Sveučilišta i veleučilišta u Republici Hrvatskoj</v>
      </c>
      <c r="C135" s="154">
        <v>12</v>
      </c>
      <c r="D135" s="149" t="str">
        <f t="shared" si="25"/>
        <v>Sredstva učešća za pomoći</v>
      </c>
      <c r="E135" s="154">
        <v>4221</v>
      </c>
      <c r="F135" s="149" t="str">
        <f t="shared" si="24"/>
        <v>Uredska oprema i namještaj</v>
      </c>
      <c r="G135" s="201" t="s">
        <v>287</v>
      </c>
      <c r="H135" s="149" t="str">
        <f t="shared" si="26"/>
        <v>OP KONKURENTNOST I KOHEZIJA 2014.-2020., PRIORITET 1 i 10</v>
      </c>
      <c r="I135" s="198">
        <v>368786</v>
      </c>
      <c r="J135" s="198">
        <v>0</v>
      </c>
      <c r="K135" s="198">
        <v>0</v>
      </c>
      <c r="M135" s="144" t="str">
        <f t="shared" si="27"/>
        <v>422</v>
      </c>
      <c r="N135" s="144" t="str">
        <f t="shared" si="28"/>
        <v>42</v>
      </c>
    </row>
    <row r="136" spans="1:22">
      <c r="A136" s="148" t="str">
        <f>IF(C136="","",VLOOKUP('Opći dio'!$C$3,'Opći dio'!$L$6:$U$135,10,FALSE))</f>
        <v>08006</v>
      </c>
      <c r="B136" s="148" t="str">
        <f>IF(C136="","",VLOOKUP('Opći dio'!$C$3,'Opći dio'!$L$6:$U$135,9,FALSE))</f>
        <v>Sveučilišta i veleučilišta u Republici Hrvatskoj</v>
      </c>
      <c r="C136" s="154">
        <v>12</v>
      </c>
      <c r="D136" s="149" t="str">
        <f t="shared" si="25"/>
        <v>Sredstva učešća za pomoći</v>
      </c>
      <c r="E136" s="154">
        <v>4224</v>
      </c>
      <c r="F136" s="149" t="str">
        <f t="shared" si="24"/>
        <v>Medicinska i laboratorijska oprema</v>
      </c>
      <c r="G136" s="201" t="s">
        <v>287</v>
      </c>
      <c r="H136" s="149" t="str">
        <f t="shared" si="26"/>
        <v>OP KONKURENTNOST I KOHEZIJA 2014.-2020., PRIORITET 1 i 10</v>
      </c>
      <c r="I136" s="198">
        <v>5999999</v>
      </c>
      <c r="J136" s="198">
        <v>0</v>
      </c>
      <c r="K136" s="198">
        <v>0</v>
      </c>
      <c r="M136" s="144" t="str">
        <f t="shared" si="27"/>
        <v>422</v>
      </c>
      <c r="N136" s="144" t="str">
        <f t="shared" si="28"/>
        <v>42</v>
      </c>
    </row>
    <row r="137" spans="1:22">
      <c r="A137" s="148" t="str">
        <f>IF(C137="","",VLOOKUP('Opći dio'!$C$3,'Opći dio'!$L$6:$U$135,10,FALSE))</f>
        <v>08006</v>
      </c>
      <c r="B137" s="148" t="str">
        <f>IF(C137="","",VLOOKUP('Opći dio'!$C$3,'Opći dio'!$L$6:$U$135,9,FALSE))</f>
        <v>Sveučilišta i veleučilišta u Republici Hrvatskoj</v>
      </c>
      <c r="C137" s="154">
        <v>12</v>
      </c>
      <c r="D137" s="149" t="str">
        <f t="shared" si="25"/>
        <v>Sredstva učešća za pomoći</v>
      </c>
      <c r="E137" s="154">
        <v>4262</v>
      </c>
      <c r="F137" s="149" t="str">
        <f t="shared" si="24"/>
        <v>Ulaganja u računalne programe</v>
      </c>
      <c r="G137" s="201" t="s">
        <v>287</v>
      </c>
      <c r="H137" s="149" t="str">
        <f t="shared" si="26"/>
        <v>OP KONKURENTNOST I KOHEZIJA 2014.-2020., PRIORITET 1 i 10</v>
      </c>
      <c r="I137" s="198">
        <v>147000</v>
      </c>
      <c r="J137" s="198">
        <v>0</v>
      </c>
      <c r="K137" s="198">
        <v>0</v>
      </c>
      <c r="M137" s="144" t="str">
        <f t="shared" si="27"/>
        <v>426</v>
      </c>
      <c r="N137" s="144" t="str">
        <f t="shared" si="28"/>
        <v>42</v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01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3" activePane="bottomLeft" state="frozen"/>
      <selection pane="bottomLeft" activeCell="P7" sqref="P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5" t="s">
        <v>290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6" t="s">
        <v>292</v>
      </c>
      <c r="B3" s="267"/>
      <c r="C3" s="268" t="s">
        <v>51</v>
      </c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70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1350650</v>
      </c>
      <c r="D5" s="3"/>
      <c r="E5" s="3"/>
      <c r="F5" s="3">
        <v>560000</v>
      </c>
      <c r="G5" s="3">
        <v>790650</v>
      </c>
      <c r="H5" s="3"/>
      <c r="I5" s="3"/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110047840</v>
      </c>
      <c r="D6" s="15">
        <f t="shared" ref="D6:P6" si="1">+D26+D33</f>
        <v>29270845</v>
      </c>
      <c r="E6" s="15">
        <f t="shared" si="1"/>
        <v>9607239</v>
      </c>
      <c r="F6" s="15">
        <f t="shared" si="1"/>
        <v>6750000</v>
      </c>
      <c r="G6" s="15">
        <f t="shared" si="1"/>
        <v>2529208</v>
      </c>
      <c r="H6" s="15">
        <f t="shared" si="1"/>
        <v>6716935</v>
      </c>
      <c r="I6" s="15">
        <f t="shared" si="1"/>
        <v>530658</v>
      </c>
      <c r="J6" s="15">
        <f t="shared" si="1"/>
        <v>0</v>
      </c>
      <c r="K6" s="15">
        <f t="shared" si="1"/>
        <v>0</v>
      </c>
      <c r="L6" s="15">
        <f t="shared" si="1"/>
        <v>54441021</v>
      </c>
      <c r="M6" s="15">
        <f t="shared" si="1"/>
        <v>197434</v>
      </c>
      <c r="N6" s="15">
        <f t="shared" si="1"/>
        <v>0</v>
      </c>
      <c r="O6" s="15">
        <f t="shared" si="1"/>
        <v>4500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-939350</v>
      </c>
      <c r="D7" s="115">
        <v>0</v>
      </c>
      <c r="E7" s="115"/>
      <c r="F7" s="115">
        <v>-485800</v>
      </c>
      <c r="G7" s="115">
        <v>-453550</v>
      </c>
      <c r="H7" s="115"/>
      <c r="I7" s="115"/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110459140</v>
      </c>
      <c r="D8" s="15">
        <f>+D5+D6+D7</f>
        <v>29270845</v>
      </c>
      <c r="E8" s="15">
        <f t="shared" ref="E8:P8" si="2">+E5+E6+E7</f>
        <v>9607239</v>
      </c>
      <c r="F8" s="15">
        <f t="shared" si="2"/>
        <v>6824200</v>
      </c>
      <c r="G8" s="15">
        <f t="shared" si="2"/>
        <v>2866308</v>
      </c>
      <c r="H8" s="15">
        <f t="shared" si="2"/>
        <v>6716935</v>
      </c>
      <c r="I8" s="15">
        <f t="shared" si="2"/>
        <v>530658</v>
      </c>
      <c r="J8" s="15">
        <f t="shared" si="2"/>
        <v>0</v>
      </c>
      <c r="K8" s="15">
        <f t="shared" si="2"/>
        <v>0</v>
      </c>
      <c r="L8" s="15">
        <f t="shared" si="2"/>
        <v>54441021</v>
      </c>
      <c r="M8" s="15">
        <f t="shared" si="2"/>
        <v>197434</v>
      </c>
      <c r="N8" s="15">
        <f t="shared" si="2"/>
        <v>0</v>
      </c>
      <c r="O8" s="15">
        <f t="shared" si="2"/>
        <v>4500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110459140</v>
      </c>
      <c r="D9" s="138">
        <f>+'PLAN RASHODA I IZDATAKA'!D3</f>
        <v>29270845</v>
      </c>
      <c r="E9" s="138">
        <f>+'PLAN RASHODA I IZDATAKA'!E3</f>
        <v>9607239</v>
      </c>
      <c r="F9" s="138">
        <f>+'PLAN RASHODA I IZDATAKA'!F3</f>
        <v>6824200</v>
      </c>
      <c r="G9" s="138">
        <f>+'PLAN RASHODA I IZDATAKA'!G3</f>
        <v>2866308</v>
      </c>
      <c r="H9" s="138">
        <f>+'PLAN RASHODA I IZDATAKA'!H3</f>
        <v>6716935</v>
      </c>
      <c r="I9" s="138">
        <f>+'PLAN RASHODA I IZDATAKA'!I3</f>
        <v>530658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54441021</v>
      </c>
      <c r="M9" s="138">
        <f>+'PLAN RASHODA I IZDATAKA'!M3</f>
        <v>197434</v>
      </c>
      <c r="N9" s="138">
        <f>+'PLAN RASHODA I IZDATAKA'!N3</f>
        <v>0</v>
      </c>
      <c r="O9" s="138">
        <f>+'PLAN RASHODA I IZDATAKA'!O3</f>
        <v>4500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61157956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6716935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54441021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530658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530658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2529208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2529208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6750000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6750000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197434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197434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38878084</v>
      </c>
      <c r="D23" s="204">
        <f>SUMIFS('Plan prihoda za unos u SAP'!$G$3:$G$501,'Plan prihoda za unos u SAP'!$C$3:$C$501,"=11",'Plan prihoda za unos u SAP'!$K$3:$K$501,"=671")</f>
        <v>29270845</v>
      </c>
      <c r="E23" s="204">
        <f>SUMIFS('Plan prihoda za unos u SAP'!$G$3:$G$501,'Plan prihoda za unos u SAP'!$C$3:$C$501,"=12",'Plan prihoda za unos u SAP'!$K$3:$K$501,"=671")</f>
        <v>9607239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110043340</v>
      </c>
      <c r="D26" s="4">
        <f t="shared" ref="D26:P26" si="6">SUM(D11:D25)</f>
        <v>29270845</v>
      </c>
      <c r="E26" s="4">
        <f t="shared" si="6"/>
        <v>9607239</v>
      </c>
      <c r="F26" s="4">
        <f t="shared" si="6"/>
        <v>6750000</v>
      </c>
      <c r="G26" s="4">
        <f t="shared" si="6"/>
        <v>2529208</v>
      </c>
      <c r="H26" s="4">
        <f t="shared" si="6"/>
        <v>6716935</v>
      </c>
      <c r="I26" s="4">
        <f t="shared" si="6"/>
        <v>530658</v>
      </c>
      <c r="J26" s="4">
        <f t="shared" si="6"/>
        <v>0</v>
      </c>
      <c r="K26" s="4">
        <f t="shared" si="6"/>
        <v>0</v>
      </c>
      <c r="L26" s="4">
        <f t="shared" si="6"/>
        <v>54441021</v>
      </c>
      <c r="M26" s="4">
        <f t="shared" si="6"/>
        <v>197434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4500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4500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4500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4500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71" t="s">
        <v>339</v>
      </c>
      <c r="B37" s="271"/>
      <c r="C37" s="72">
        <f>SUM(D37:P37)</f>
        <v>110047840</v>
      </c>
      <c r="D37" s="72">
        <f t="shared" ref="D37:P37" si="9">+D36+D33+D26</f>
        <v>29270845</v>
      </c>
      <c r="E37" s="72">
        <f t="shared" si="9"/>
        <v>9607239</v>
      </c>
      <c r="F37" s="72">
        <f t="shared" si="9"/>
        <v>6750000</v>
      </c>
      <c r="G37" s="72">
        <f t="shared" si="9"/>
        <v>2529208</v>
      </c>
      <c r="H37" s="72">
        <f t="shared" si="9"/>
        <v>6716935</v>
      </c>
      <c r="I37" s="72">
        <f t="shared" si="9"/>
        <v>530658</v>
      </c>
      <c r="J37" s="72">
        <f t="shared" si="9"/>
        <v>0</v>
      </c>
      <c r="K37" s="72">
        <f t="shared" si="9"/>
        <v>0</v>
      </c>
      <c r="L37" s="72">
        <f t="shared" si="9"/>
        <v>54441021</v>
      </c>
      <c r="M37" s="72">
        <f t="shared" si="9"/>
        <v>197434</v>
      </c>
      <c r="N37" s="72">
        <f t="shared" si="9"/>
        <v>0</v>
      </c>
      <c r="O37" s="72">
        <f t="shared" si="9"/>
        <v>4500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6" t="s">
        <v>292</v>
      </c>
      <c r="B39" s="267"/>
      <c r="C39" s="268" t="s">
        <v>54</v>
      </c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70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939350</v>
      </c>
      <c r="D41" s="203">
        <f t="shared" ref="D41:P41" si="11">-D7</f>
        <v>0</v>
      </c>
      <c r="E41" s="203">
        <f t="shared" si="11"/>
        <v>0</v>
      </c>
      <c r="F41" s="203">
        <f t="shared" si="11"/>
        <v>485800</v>
      </c>
      <c r="G41" s="203">
        <f t="shared" si="11"/>
        <v>453550</v>
      </c>
      <c r="H41" s="203">
        <f t="shared" si="11"/>
        <v>0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42420038</v>
      </c>
      <c r="D42" s="15">
        <f t="shared" ref="D42:P42" si="12">+D62+D69</f>
        <v>30687939</v>
      </c>
      <c r="E42" s="15">
        <f t="shared" si="12"/>
        <v>18986</v>
      </c>
      <c r="F42" s="15">
        <f t="shared" si="12"/>
        <v>6850000</v>
      </c>
      <c r="G42" s="15">
        <f t="shared" si="12"/>
        <v>2083189</v>
      </c>
      <c r="H42" s="15">
        <f t="shared" si="12"/>
        <v>1970967</v>
      </c>
      <c r="I42" s="15">
        <f t="shared" si="12"/>
        <v>546871</v>
      </c>
      <c r="J42" s="15">
        <f t="shared" si="12"/>
        <v>0</v>
      </c>
      <c r="K42" s="15">
        <f t="shared" si="12"/>
        <v>0</v>
      </c>
      <c r="L42" s="15">
        <f t="shared" si="12"/>
        <v>107586</v>
      </c>
      <c r="M42" s="15">
        <f t="shared" si="12"/>
        <v>150000</v>
      </c>
      <c r="N42" s="15">
        <f t="shared" si="12"/>
        <v>0</v>
      </c>
      <c r="O42" s="15">
        <f t="shared" si="12"/>
        <v>4500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-637885</v>
      </c>
      <c r="D43" s="115"/>
      <c r="E43" s="115"/>
      <c r="F43" s="115">
        <v>-350255</v>
      </c>
      <c r="G43" s="115">
        <v>-287630</v>
      </c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42721503</v>
      </c>
      <c r="D44" s="15">
        <f>+D41+D42+D43</f>
        <v>30687939</v>
      </c>
      <c r="E44" s="15">
        <f t="shared" ref="E44:P44" si="13">+E41+E42+E43</f>
        <v>18986</v>
      </c>
      <c r="F44" s="15">
        <f t="shared" si="13"/>
        <v>6985545</v>
      </c>
      <c r="G44" s="15">
        <f t="shared" si="13"/>
        <v>2249109</v>
      </c>
      <c r="H44" s="15">
        <f t="shared" si="13"/>
        <v>1970967</v>
      </c>
      <c r="I44" s="15">
        <f t="shared" si="13"/>
        <v>546871</v>
      </c>
      <c r="J44" s="15">
        <f t="shared" si="13"/>
        <v>0</v>
      </c>
      <c r="K44" s="15">
        <f t="shared" si="13"/>
        <v>0</v>
      </c>
      <c r="L44" s="15">
        <f t="shared" si="13"/>
        <v>107586</v>
      </c>
      <c r="M44" s="15">
        <f t="shared" si="13"/>
        <v>150000</v>
      </c>
      <c r="N44" s="15">
        <f t="shared" si="13"/>
        <v>0</v>
      </c>
      <c r="O44" s="15">
        <f t="shared" si="13"/>
        <v>4500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42721503</v>
      </c>
      <c r="D45" s="138">
        <f>+'PLAN RASHODA I IZDATAKA'!D71</f>
        <v>30687939</v>
      </c>
      <c r="E45" s="138">
        <f>+'PLAN RASHODA I IZDATAKA'!E71</f>
        <v>18986</v>
      </c>
      <c r="F45" s="138">
        <f>+'PLAN RASHODA I IZDATAKA'!F71</f>
        <v>6985545</v>
      </c>
      <c r="G45" s="138">
        <f>+'PLAN RASHODA I IZDATAKA'!G71</f>
        <v>2249109</v>
      </c>
      <c r="H45" s="138">
        <f>+'PLAN RASHODA I IZDATAKA'!H71</f>
        <v>1970967</v>
      </c>
      <c r="I45" s="138">
        <f>+'PLAN RASHODA I IZDATAKA'!I71</f>
        <v>546871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107586</v>
      </c>
      <c r="M45" s="138">
        <f>+'PLAN RASHODA I IZDATAKA'!M71</f>
        <v>150000</v>
      </c>
      <c r="N45" s="138">
        <f>+'PLAN RASHODA I IZDATAKA'!N71</f>
        <v>0</v>
      </c>
      <c r="O45" s="138">
        <f>+'PLAN RASHODA I IZDATAKA'!O71</f>
        <v>4500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2078553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1970967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107586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546871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546871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2083189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2083189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6850000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6850000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150000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150000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30706925</v>
      </c>
      <c r="D59" s="204">
        <f>SUMIFS('Plan prihoda za unos u SAP'!$H$3:$H$501,'Plan prihoda za unos u SAP'!$C$3:$C$501,"=11",'Plan prihoda za unos u SAP'!$K$3:$K$501,"=671")</f>
        <v>30687939</v>
      </c>
      <c r="E59" s="204">
        <f>SUMIFS('Plan prihoda za unos u SAP'!$H$3:$H$501,'Plan prihoda za unos u SAP'!$C$3:$C$501,"=12",'Plan prihoda za unos u SAP'!$K$3:$K$501,"=671")</f>
        <v>18986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42415538</v>
      </c>
      <c r="D62" s="4">
        <f t="shared" ref="D62:P62" si="17">SUM(D47:D61)</f>
        <v>30687939</v>
      </c>
      <c r="E62" s="4">
        <f t="shared" si="17"/>
        <v>18986</v>
      </c>
      <c r="F62" s="4">
        <f t="shared" si="17"/>
        <v>6850000</v>
      </c>
      <c r="G62" s="4">
        <f t="shared" si="17"/>
        <v>2083189</v>
      </c>
      <c r="H62" s="4">
        <f t="shared" si="17"/>
        <v>1970967</v>
      </c>
      <c r="I62" s="4">
        <f t="shared" si="17"/>
        <v>546871</v>
      </c>
      <c r="J62" s="4">
        <f t="shared" si="17"/>
        <v>0</v>
      </c>
      <c r="K62" s="4">
        <f t="shared" si="17"/>
        <v>0</v>
      </c>
      <c r="L62" s="4">
        <f t="shared" si="17"/>
        <v>107586</v>
      </c>
      <c r="M62" s="4">
        <f t="shared" si="17"/>
        <v>150000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4500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4500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4500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4500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71" t="s">
        <v>339</v>
      </c>
      <c r="B73" s="271"/>
      <c r="C73" s="72">
        <f>SUM(D73:P73)</f>
        <v>42420038</v>
      </c>
      <c r="D73" s="72">
        <f t="shared" ref="D73:P73" si="20">+D72+D69+D62</f>
        <v>30687939</v>
      </c>
      <c r="E73" s="72">
        <f t="shared" si="20"/>
        <v>18986</v>
      </c>
      <c r="F73" s="72">
        <f t="shared" si="20"/>
        <v>6850000</v>
      </c>
      <c r="G73" s="72">
        <f t="shared" si="20"/>
        <v>2083189</v>
      </c>
      <c r="H73" s="72">
        <f t="shared" si="20"/>
        <v>1970967</v>
      </c>
      <c r="I73" s="72">
        <f t="shared" si="20"/>
        <v>546871</v>
      </c>
      <c r="J73" s="72">
        <f t="shared" si="20"/>
        <v>0</v>
      </c>
      <c r="K73" s="72">
        <f t="shared" si="20"/>
        <v>0</v>
      </c>
      <c r="L73" s="72">
        <f t="shared" si="20"/>
        <v>107586</v>
      </c>
      <c r="M73" s="72">
        <f t="shared" si="20"/>
        <v>150000</v>
      </c>
      <c r="N73" s="72">
        <f t="shared" si="20"/>
        <v>0</v>
      </c>
      <c r="O73" s="72">
        <f t="shared" si="20"/>
        <v>4500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6" t="s">
        <v>292</v>
      </c>
      <c r="B75" s="267"/>
      <c r="C75" s="268" t="s">
        <v>840</v>
      </c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70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637885</v>
      </c>
      <c r="D77" s="203">
        <f t="shared" ref="D77:P77" si="22">-D43</f>
        <v>0</v>
      </c>
      <c r="E77" s="203">
        <f t="shared" si="22"/>
        <v>0</v>
      </c>
      <c r="F77" s="203">
        <f t="shared" si="22"/>
        <v>350255</v>
      </c>
      <c r="G77" s="203">
        <f t="shared" si="22"/>
        <v>287630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40357020</v>
      </c>
      <c r="D78" s="15">
        <f t="shared" ref="D78:P78" si="23">+D98+D105</f>
        <v>30792013</v>
      </c>
      <c r="E78" s="15">
        <f t="shared" si="23"/>
        <v>0</v>
      </c>
      <c r="F78" s="15">
        <f t="shared" si="23"/>
        <v>6890000</v>
      </c>
      <c r="G78" s="15">
        <f t="shared" si="23"/>
        <v>1920300</v>
      </c>
      <c r="H78" s="15">
        <f t="shared" si="23"/>
        <v>72000</v>
      </c>
      <c r="I78" s="15">
        <f t="shared" si="23"/>
        <v>598207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80000</v>
      </c>
      <c r="N78" s="15">
        <f t="shared" si="23"/>
        <v>0</v>
      </c>
      <c r="O78" s="15">
        <f t="shared" si="23"/>
        <v>4500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-622624</v>
      </c>
      <c r="D79" s="115"/>
      <c r="E79" s="115"/>
      <c r="F79" s="115">
        <v>-335500</v>
      </c>
      <c r="G79" s="115">
        <v>-287124</v>
      </c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40372281</v>
      </c>
      <c r="D80" s="15">
        <f>+D77+D78+D79</f>
        <v>30792013</v>
      </c>
      <c r="E80" s="15">
        <f t="shared" ref="E80:P80" si="24">+E77+E78+E79</f>
        <v>0</v>
      </c>
      <c r="F80" s="15">
        <f t="shared" si="24"/>
        <v>6904755</v>
      </c>
      <c r="G80" s="15">
        <f t="shared" si="24"/>
        <v>1920806</v>
      </c>
      <c r="H80" s="15">
        <f t="shared" si="24"/>
        <v>72000</v>
      </c>
      <c r="I80" s="15">
        <f t="shared" si="24"/>
        <v>598207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80000</v>
      </c>
      <c r="N80" s="15">
        <f t="shared" si="24"/>
        <v>0</v>
      </c>
      <c r="O80" s="15">
        <f t="shared" si="24"/>
        <v>4500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40372281</v>
      </c>
      <c r="D81" s="138">
        <f>+'PLAN RASHODA I IZDATAKA'!D91</f>
        <v>30792013</v>
      </c>
      <c r="E81" s="138">
        <f>+'PLAN RASHODA I IZDATAKA'!E91</f>
        <v>0</v>
      </c>
      <c r="F81" s="138">
        <f>+'PLAN RASHODA I IZDATAKA'!F91</f>
        <v>6904755</v>
      </c>
      <c r="G81" s="138">
        <f>+'PLAN RASHODA I IZDATAKA'!G91</f>
        <v>1920806</v>
      </c>
      <c r="H81" s="138">
        <f>+'PLAN RASHODA I IZDATAKA'!H91</f>
        <v>72000</v>
      </c>
      <c r="I81" s="138">
        <f>+'PLAN RASHODA I IZDATAKA'!I91</f>
        <v>598207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80000</v>
      </c>
      <c r="N81" s="138">
        <f>+'PLAN RASHODA I IZDATAKA'!N91</f>
        <v>0</v>
      </c>
      <c r="O81" s="138">
        <f>+'PLAN RASHODA I IZDATAKA'!O91</f>
        <v>4500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72000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72000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598207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598207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1920300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1920300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6890000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6890000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80000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80000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30792013</v>
      </c>
      <c r="D95" s="204">
        <f>SUMIFS('Plan prihoda za unos u SAP'!$I$3:$I$501,'Plan prihoda za unos u SAP'!$C$3:$C$501,"=11",'Plan prihoda za unos u SAP'!$K$3:$K$501,"=671")</f>
        <v>30792013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40352520</v>
      </c>
      <c r="D98" s="4">
        <f t="shared" ref="D98:P98" si="28">SUM(D83:D97)</f>
        <v>30792013</v>
      </c>
      <c r="E98" s="4">
        <f t="shared" si="28"/>
        <v>0</v>
      </c>
      <c r="F98" s="4">
        <f t="shared" si="28"/>
        <v>6890000</v>
      </c>
      <c r="G98" s="4">
        <f t="shared" si="28"/>
        <v>1920300</v>
      </c>
      <c r="H98" s="4">
        <f t="shared" si="28"/>
        <v>72000</v>
      </c>
      <c r="I98" s="4">
        <f t="shared" si="28"/>
        <v>598207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80000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4500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4500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4500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4500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71" t="s">
        <v>339</v>
      </c>
      <c r="B109" s="271"/>
      <c r="C109" s="72">
        <f>SUM(D109:P109)</f>
        <v>40357020</v>
      </c>
      <c r="D109" s="72">
        <f t="shared" ref="D109:P109" si="31">+D108+D105+D98</f>
        <v>30792013</v>
      </c>
      <c r="E109" s="72">
        <f t="shared" si="31"/>
        <v>0</v>
      </c>
      <c r="F109" s="72">
        <f t="shared" si="31"/>
        <v>6890000</v>
      </c>
      <c r="G109" s="72">
        <f t="shared" si="31"/>
        <v>1920300</v>
      </c>
      <c r="H109" s="72">
        <f t="shared" si="31"/>
        <v>72000</v>
      </c>
      <c r="I109" s="72">
        <f t="shared" si="31"/>
        <v>598207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80000</v>
      </c>
      <c r="N109" s="72">
        <f t="shared" si="31"/>
        <v>0</v>
      </c>
      <c r="O109" s="72">
        <f t="shared" si="31"/>
        <v>4500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75:B75"/>
    <mergeCell ref="C75:P75"/>
    <mergeCell ref="A109:B109"/>
    <mergeCell ref="A39:B39"/>
    <mergeCell ref="C39:P39"/>
    <mergeCell ref="A1:P1"/>
    <mergeCell ref="A3:B3"/>
    <mergeCell ref="C3:P3"/>
    <mergeCell ref="A37:B37"/>
    <mergeCell ref="A73:B73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5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2" t="s">
        <v>841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110459140</v>
      </c>
      <c r="D3" s="123">
        <f t="shared" ref="D3:P3" si="0">D4+D38+D58</f>
        <v>29270845</v>
      </c>
      <c r="E3" s="123">
        <f t="shared" si="0"/>
        <v>9607239</v>
      </c>
      <c r="F3" s="123">
        <f t="shared" si="0"/>
        <v>6824200</v>
      </c>
      <c r="G3" s="123">
        <f t="shared" si="0"/>
        <v>2866308</v>
      </c>
      <c r="H3" s="123">
        <f t="shared" si="0"/>
        <v>6716935</v>
      </c>
      <c r="I3" s="123">
        <f t="shared" si="0"/>
        <v>530658</v>
      </c>
      <c r="J3" s="123">
        <f t="shared" si="0"/>
        <v>0</v>
      </c>
      <c r="K3" s="123">
        <f t="shared" si="0"/>
        <v>0</v>
      </c>
      <c r="L3" s="123">
        <f t="shared" si="0"/>
        <v>54441021</v>
      </c>
      <c r="M3" s="123">
        <f t="shared" si="0"/>
        <v>197434</v>
      </c>
      <c r="N3" s="123">
        <f t="shared" si="0"/>
        <v>0</v>
      </c>
      <c r="O3" s="123">
        <f t="shared" si="0"/>
        <v>4500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45895045</v>
      </c>
      <c r="D4" s="127">
        <f>D5+D9+D15+D19+D23+D30+D33</f>
        <v>28860845</v>
      </c>
      <c r="E4" s="127">
        <f t="shared" ref="E4:P4" si="1">E5+E9+E15+E19+E23+E30+E33</f>
        <v>118368</v>
      </c>
      <c r="F4" s="127">
        <f t="shared" si="1"/>
        <v>6473700</v>
      </c>
      <c r="G4" s="127">
        <f t="shared" si="1"/>
        <v>2631308</v>
      </c>
      <c r="H4" s="127">
        <f t="shared" si="1"/>
        <v>6407485</v>
      </c>
      <c r="I4" s="127">
        <f t="shared" si="1"/>
        <v>530658</v>
      </c>
      <c r="J4" s="127">
        <f t="shared" si="1"/>
        <v>0</v>
      </c>
      <c r="K4" s="127">
        <f t="shared" si="1"/>
        <v>0</v>
      </c>
      <c r="L4" s="127">
        <f t="shared" si="1"/>
        <v>670747</v>
      </c>
      <c r="M4" s="127">
        <f t="shared" si="1"/>
        <v>197434</v>
      </c>
      <c r="N4" s="127">
        <f t="shared" si="1"/>
        <v>0</v>
      </c>
      <c r="O4" s="127">
        <f t="shared" si="1"/>
        <v>4500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29108129</v>
      </c>
      <c r="D5" s="13">
        <f>SUM(D6:D8)</f>
        <v>25523905</v>
      </c>
      <c r="E5" s="13">
        <f t="shared" ref="E5:P5" si="3">SUM(E6:E8)</f>
        <v>20160</v>
      </c>
      <c r="F5" s="13">
        <f t="shared" si="3"/>
        <v>718050</v>
      </c>
      <c r="G5" s="13">
        <f t="shared" si="3"/>
        <v>812603</v>
      </c>
      <c r="H5" s="13">
        <f t="shared" si="3"/>
        <v>1786797</v>
      </c>
      <c r="I5" s="13">
        <f t="shared" si="3"/>
        <v>0</v>
      </c>
      <c r="J5" s="13">
        <f t="shared" si="3"/>
        <v>0</v>
      </c>
      <c r="K5" s="13">
        <f t="shared" si="3"/>
        <v>0</v>
      </c>
      <c r="L5" s="13">
        <f t="shared" si="3"/>
        <v>114240</v>
      </c>
      <c r="M5" s="13">
        <f t="shared" si="3"/>
        <v>132374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24423952</v>
      </c>
      <c r="D6" s="143">
        <f>SUMIFS('Plan rashoda za unos u SAP'!$I$3:$I$501,'Plan rashoda za unos u SAP'!$C$3:$C$501,"=11",'Plan rashoda za unos u SAP'!$M$3:$M$501,"=311")</f>
        <v>21444504</v>
      </c>
      <c r="E6" s="143">
        <f>SUMIFS('Plan rashoda za unos u SAP'!$I$3:$I$501,'Plan rashoda za unos u SAP'!$C$3:$C$501,"=12",'Plan rashoda za unos u SAP'!$M$3:$M$501,"=311")</f>
        <v>17201</v>
      </c>
      <c r="F6" s="143">
        <f>SUMIFS('Plan rashoda za unos u SAP'!$I$3:$I$501,'Plan rashoda za unos u SAP'!$C$3:$C$501,"=31",'Plan rashoda za unos u SAP'!$M$3:$M$501,"=311")</f>
        <v>570000</v>
      </c>
      <c r="G6" s="143">
        <f>SUMIFS('Plan rashoda za unos u SAP'!$I$3:$I$501,'Plan rashoda za unos u SAP'!$C$3:$C$501,"=43",'Plan rashoda za unos u SAP'!$M$3:$M$501,"=311")</f>
        <v>664896</v>
      </c>
      <c r="H6" s="143">
        <f>SUMIFS('Plan rashoda za unos u SAP'!$I$3:$I$501,'Plan rashoda za unos u SAP'!$C$3:$C$501,"=51",'Plan rashoda za unos u SAP'!$M$3:$M$501,"=311")</f>
        <v>1518397</v>
      </c>
      <c r="I6" s="143">
        <f>SUMIFS('Plan rashoda za unos u SAP'!$I$3:$I$501,'Plan rashoda za unos u SAP'!$C$3:$C$501,"=52",'Plan rashoda za unos u SAP'!$M$3:$M$501,"=311")</f>
        <v>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97474</v>
      </c>
      <c r="M6" s="143">
        <f>SUMIFS('Plan rashoda za unos u SAP'!$I$3:$I$501,'Plan rashoda za unos u SAP'!$C$3:$C$501,"=61",'Plan rashoda za unos u SAP'!$M$3:$M$501,"=311")</f>
        <v>111480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791814</v>
      </c>
      <c r="D7" s="143">
        <f>SUMIFS('Plan rashoda za unos u SAP'!$I$3:$I$501,'Plan rashoda za unos u SAP'!$C$3:$C$501,"=11",'Plan rashoda za unos u SAP'!$M$3:$M$501,"=312")</f>
        <v>679449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54000</v>
      </c>
      <c r="G7" s="143">
        <f>SUMIFS('Plan rashoda za unos u SAP'!$I$3:$I$501,'Plan rashoda za unos u SAP'!$C$3:$C$501,"=43",'Plan rashoda za unos u SAP'!$M$3:$M$501,"=312")</f>
        <v>38000</v>
      </c>
      <c r="H7" s="143">
        <f>SUMIFS('Plan rashoda za unos u SAP'!$I$3:$I$501,'Plan rashoda za unos u SAP'!$C$3:$C$501,"=51",'Plan rashoda za unos u SAP'!$M$3:$M$501,"=312")</f>
        <v>17865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2500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3892363</v>
      </c>
      <c r="D8" s="143">
        <f>SUMIFS('Plan rashoda za unos u SAP'!$I$3:$I$501,'Plan rashoda za unos u SAP'!$C$3:$C$501,"=11",'Plan rashoda za unos u SAP'!$M$3:$M$501,"=313")</f>
        <v>3399952</v>
      </c>
      <c r="E8" s="143">
        <f>SUMIFS('Plan rashoda za unos u SAP'!$I$3:$I$501,'Plan rashoda za unos u SAP'!$C$3:$C$501,"=12",'Plan rashoda za unos u SAP'!$M$3:$M$501,"=313")</f>
        <v>2959</v>
      </c>
      <c r="F8" s="143">
        <f>SUMIFS('Plan rashoda za unos u SAP'!$I$3:$I$501,'Plan rashoda za unos u SAP'!$C$3:$C$501,"=31",'Plan rashoda za unos u SAP'!$M$3:$M$501,"=313")</f>
        <v>94050</v>
      </c>
      <c r="G8" s="143">
        <f>SUMIFS('Plan rashoda za unos u SAP'!$I$3:$I$501,'Plan rashoda za unos u SAP'!$C$3:$C$501,"=43",'Plan rashoda za unos u SAP'!$M$3:$M$501,"=313")</f>
        <v>109707</v>
      </c>
      <c r="H8" s="143">
        <f>SUMIFS('Plan rashoda za unos u SAP'!$I$3:$I$501,'Plan rashoda za unos u SAP'!$C$3:$C$501,"=51",'Plan rashoda za unos u SAP'!$M$3:$M$501,"=313")</f>
        <v>250535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16766</v>
      </c>
      <c r="M8" s="143">
        <f>SUMIFS('Plan rashoda za unos u SAP'!$I$3:$I$501,'Plan rashoda za unos u SAP'!$C$3:$C$501,"=61",'Plan rashoda za unos u SAP'!$M$3:$M$501,"=313")</f>
        <v>18394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16551416</v>
      </c>
      <c r="D9" s="79">
        <f t="shared" ref="D9:P9" si="4">SUM(D10:D14)</f>
        <v>3323440</v>
      </c>
      <c r="E9" s="79">
        <f t="shared" si="4"/>
        <v>98208</v>
      </c>
      <c r="F9" s="79">
        <f t="shared" si="4"/>
        <v>5555650</v>
      </c>
      <c r="G9" s="79">
        <f t="shared" si="4"/>
        <v>1796705</v>
      </c>
      <c r="H9" s="79">
        <f t="shared" si="4"/>
        <v>4620688</v>
      </c>
      <c r="I9" s="79">
        <f t="shared" si="4"/>
        <v>530658</v>
      </c>
      <c r="J9" s="79">
        <f t="shared" si="4"/>
        <v>0</v>
      </c>
      <c r="K9" s="79">
        <f t="shared" si="4"/>
        <v>0</v>
      </c>
      <c r="L9" s="79">
        <f t="shared" si="4"/>
        <v>556507</v>
      </c>
      <c r="M9" s="79">
        <f t="shared" si="4"/>
        <v>65060</v>
      </c>
      <c r="N9" s="79">
        <f t="shared" si="4"/>
        <v>0</v>
      </c>
      <c r="O9" s="79">
        <f t="shared" si="4"/>
        <v>4500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2319690</v>
      </c>
      <c r="D10" s="143">
        <f>SUMIFS('Plan rashoda za unos u SAP'!$I$3:$I$501,'Plan rashoda za unos u SAP'!$C$3:$C$501,"=11",'Plan rashoda za unos u SAP'!$M$3:$M$501,"=321")</f>
        <v>790629</v>
      </c>
      <c r="E10" s="143">
        <f>SUMIFS('Plan rashoda za unos u SAP'!$I$3:$I$501,'Plan rashoda za unos u SAP'!$C$3:$C$501,"=12",'Plan rashoda za unos u SAP'!$M$3:$M$501,"=321")</f>
        <v>522</v>
      </c>
      <c r="F10" s="143">
        <f>SUMIFS('Plan rashoda za unos u SAP'!$I$3:$I$501,'Plan rashoda za unos u SAP'!$C$3:$C$501,"=31",'Plan rashoda za unos u SAP'!$M$3:$M$501,"=321")</f>
        <v>488900</v>
      </c>
      <c r="G10" s="143">
        <f>SUMIFS('Plan rashoda za unos u SAP'!$I$3:$I$501,'Plan rashoda za unos u SAP'!$C$3:$C$501,"=43",'Plan rashoda za unos u SAP'!$M$3:$M$501,"=321")</f>
        <v>219990</v>
      </c>
      <c r="H10" s="143">
        <f>SUMIFS('Plan rashoda za unos u SAP'!$I$3:$I$501,'Plan rashoda za unos u SAP'!$C$3:$C$501,"=51",'Plan rashoda za unos u SAP'!$M$3:$M$501,"=321")</f>
        <v>350973</v>
      </c>
      <c r="I10" s="143">
        <f>SUMIFS('Plan rashoda za unos u SAP'!$I$3:$I$501,'Plan rashoda za unos u SAP'!$C$3:$C$501,"=52",'Plan rashoda za unos u SAP'!$M$3:$M$501,"=321")</f>
        <v>460658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2958</v>
      </c>
      <c r="M10" s="143">
        <f>SUMIFS('Plan rashoda za unos u SAP'!$I$3:$I$501,'Plan rashoda za unos u SAP'!$C$3:$C$501,"=61",'Plan rashoda za unos u SAP'!$M$3:$M$501,"=321")</f>
        <v>5060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1412081</v>
      </c>
      <c r="D11" s="143">
        <f>SUMIFS('Plan rashoda za unos u SAP'!$I$3:$I$501,'Plan rashoda za unos u SAP'!$C$3:$C$501,"=11",'Plan rashoda za unos u SAP'!$M$3:$M$501,"=322")</f>
        <v>820300</v>
      </c>
      <c r="E11" s="143">
        <f>SUMIFS('Plan rashoda za unos u SAP'!$I$3:$I$501,'Plan rashoda za unos u SAP'!$C$3:$C$501,"=12",'Plan rashoda za unos u SAP'!$M$3:$M$501,"=322")</f>
        <v>3233</v>
      </c>
      <c r="F11" s="143">
        <f>SUMIFS('Plan rashoda za unos u SAP'!$I$3:$I$501,'Plan rashoda za unos u SAP'!$C$3:$C$501,"=31",'Plan rashoda za unos u SAP'!$M$3:$M$501,"=322")</f>
        <v>330800</v>
      </c>
      <c r="G11" s="143">
        <f>SUMIFS('Plan rashoda za unos u SAP'!$I$3:$I$501,'Plan rashoda za unos u SAP'!$C$3:$C$501,"=43",'Plan rashoda za unos u SAP'!$M$3:$M$501,"=322")</f>
        <v>222940</v>
      </c>
      <c r="H11" s="143">
        <f>SUMIFS('Plan rashoda za unos u SAP'!$I$3:$I$501,'Plan rashoda za unos u SAP'!$C$3:$C$501,"=51",'Plan rashoda za unos u SAP'!$M$3:$M$501,"=322")</f>
        <v>11990</v>
      </c>
      <c r="I11" s="143">
        <f>SUMIFS('Plan rashoda za unos u SAP'!$I$3:$I$501,'Plan rashoda za unos u SAP'!$C$3:$C$501,"=52",'Plan rashoda za unos u SAP'!$M$3:$M$501,"=322")</f>
        <v>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18318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4500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11439232</v>
      </c>
      <c r="D12" s="143">
        <f>SUMIFS('Plan rashoda za unos u SAP'!$I$3:$I$501,'Plan rashoda za unos u SAP'!$C$3:$C$501,"=11",'Plan rashoda za unos u SAP'!$M$3:$M$501,"=323")</f>
        <v>1555311</v>
      </c>
      <c r="E12" s="143">
        <f>SUMIFS('Plan rashoda za unos u SAP'!$I$3:$I$501,'Plan rashoda za unos u SAP'!$C$3:$C$501,"=12",'Plan rashoda za unos u SAP'!$M$3:$M$501,"=323")</f>
        <v>92203</v>
      </c>
      <c r="F12" s="143">
        <f>SUMIFS('Plan rashoda za unos u SAP'!$I$3:$I$501,'Plan rashoda za unos u SAP'!$C$3:$C$501,"=31",'Plan rashoda za unos u SAP'!$M$3:$M$501,"=323")</f>
        <v>4352950</v>
      </c>
      <c r="G12" s="143">
        <f>SUMIFS('Plan rashoda za unos u SAP'!$I$3:$I$501,'Plan rashoda za unos u SAP'!$C$3:$C$501,"=43",'Plan rashoda za unos u SAP'!$M$3:$M$501,"=323")</f>
        <v>548562</v>
      </c>
      <c r="H12" s="143">
        <f>SUMIFS('Plan rashoda za unos u SAP'!$I$3:$I$501,'Plan rashoda za unos u SAP'!$C$3:$C$501,"=51",'Plan rashoda za unos u SAP'!$M$3:$M$501,"=323")</f>
        <v>4257725</v>
      </c>
      <c r="I12" s="143">
        <f>SUMIFS('Plan rashoda za unos u SAP'!$I$3:$I$501,'Plan rashoda za unos u SAP'!$C$3:$C$501,"=52",'Plan rashoda za unos u SAP'!$M$3:$M$501,"=323")</f>
        <v>50000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522481</v>
      </c>
      <c r="M12" s="143">
        <f>SUMIFS('Plan rashoda za unos u SAP'!$I$3:$I$501,'Plan rashoda za unos u SAP'!$C$3:$C$501,"=61",'Plan rashoda za unos u SAP'!$M$3:$M$501,"=323")</f>
        <v>60000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180200</v>
      </c>
      <c r="D13" s="143">
        <f>SUMIFS('Plan rashoda za unos u SAP'!$I$3:$I$501,'Plan rashoda za unos u SAP'!$C$3:$C$501,"=11",'Plan rashoda za unos u SAP'!$M$3:$M$501,"=324")</f>
        <v>57200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0</v>
      </c>
      <c r="G13" s="143">
        <f>SUMIFS('Plan rashoda za unos u SAP'!$I$3:$I$501,'Plan rashoda za unos u SAP'!$C$3:$C$501,"=43",'Plan rashoda za unos u SAP'!$M$3:$M$501,"=324")</f>
        <v>103000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20000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1200213</v>
      </c>
      <c r="D14" s="143">
        <f>SUMIFS('Plan rashoda za unos u SAP'!$I$3:$I$501,'Plan rashoda za unos u SAP'!$C$3:$C$501,"=11",'Plan rashoda za unos u SAP'!$M$3:$M$501,"=329")</f>
        <v>100000</v>
      </c>
      <c r="E14" s="143">
        <f>SUMIFS('Plan rashoda za unos u SAP'!$I$3:$I$501,'Plan rashoda za unos u SAP'!$C$3:$C$501,"=12",'Plan rashoda za unos u SAP'!$M$3:$M$501,"=329")</f>
        <v>2250</v>
      </c>
      <c r="F14" s="143">
        <f>SUMIFS('Plan rashoda za unos u SAP'!$I$3:$I$501,'Plan rashoda za unos u SAP'!$C$3:$C$501,"=31",'Plan rashoda za unos u SAP'!$M$3:$M$501,"=329")</f>
        <v>383000</v>
      </c>
      <c r="G14" s="143">
        <f>SUMIFS('Plan rashoda za unos u SAP'!$I$3:$I$501,'Plan rashoda za unos u SAP'!$C$3:$C$501,"=43",'Plan rashoda za unos u SAP'!$M$3:$M$501,"=329")</f>
        <v>702213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12750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203500</v>
      </c>
      <c r="D15" s="4">
        <f t="shared" ref="D15:P15" si="5">SUM(D16:D18)</f>
        <v>13500</v>
      </c>
      <c r="E15" s="4">
        <f t="shared" si="5"/>
        <v>0</v>
      </c>
      <c r="F15" s="4">
        <f t="shared" si="5"/>
        <v>180000</v>
      </c>
      <c r="G15" s="4">
        <f t="shared" si="5"/>
        <v>10000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150000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150000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53500</v>
      </c>
      <c r="D18" s="143">
        <f>SUMIFS('Plan rashoda za unos u SAP'!$I$3:$I$501,'Plan rashoda za unos u SAP'!$C$3:$C$501,"=11",'Plan rashoda za unos u SAP'!$M$3:$M$501,"=343")</f>
        <v>13500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30000</v>
      </c>
      <c r="G18" s="143">
        <f>SUMIFS('Plan rashoda za unos u SAP'!$I$3:$I$501,'Plan rashoda za unos u SAP'!$C$3:$C$501,"=43",'Plan rashoda za unos u SAP'!$M$3:$M$501,"=343")</f>
        <v>10000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12000</v>
      </c>
      <c r="D30" s="4">
        <f t="shared" ref="D30:P30" si="8">SUM(D31:D32)</f>
        <v>0</v>
      </c>
      <c r="E30" s="4">
        <f t="shared" si="8"/>
        <v>0</v>
      </c>
      <c r="F30" s="4">
        <f t="shared" si="8"/>
        <v>0</v>
      </c>
      <c r="G30" s="4">
        <f t="shared" si="8"/>
        <v>12000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12000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12000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20000</v>
      </c>
      <c r="D33" s="4">
        <f t="shared" ref="D33:P33" si="9">SUM(D34:D37)</f>
        <v>0</v>
      </c>
      <c r="E33" s="4">
        <f t="shared" si="9"/>
        <v>0</v>
      </c>
      <c r="F33" s="4">
        <f t="shared" si="9"/>
        <v>20000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20000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20000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64564095</v>
      </c>
      <c r="D38" s="128">
        <f>D42+D49+D51+D53+D39</f>
        <v>410000</v>
      </c>
      <c r="E38" s="128">
        <f t="shared" ref="E38:P38" si="10">E42+E49+E51+E53+E39</f>
        <v>9488871</v>
      </c>
      <c r="F38" s="128">
        <f t="shared" si="10"/>
        <v>350500</v>
      </c>
      <c r="G38" s="128">
        <f t="shared" si="10"/>
        <v>235000</v>
      </c>
      <c r="H38" s="128">
        <f t="shared" si="10"/>
        <v>309450</v>
      </c>
      <c r="I38" s="128">
        <f t="shared" si="10"/>
        <v>0</v>
      </c>
      <c r="J38" s="128">
        <f t="shared" si="10"/>
        <v>0</v>
      </c>
      <c r="K38" s="128">
        <f t="shared" si="10"/>
        <v>0</v>
      </c>
      <c r="L38" s="128">
        <f t="shared" si="10"/>
        <v>53770274</v>
      </c>
      <c r="M38" s="128">
        <f t="shared" si="10"/>
        <v>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64564095</v>
      </c>
      <c r="D42" s="4">
        <f t="shared" ref="D42:P42" si="12">SUM(D43:D48)</f>
        <v>410000</v>
      </c>
      <c r="E42" s="4">
        <f t="shared" si="12"/>
        <v>9488871</v>
      </c>
      <c r="F42" s="4">
        <f t="shared" si="12"/>
        <v>350500</v>
      </c>
      <c r="G42" s="4">
        <f t="shared" si="12"/>
        <v>235000</v>
      </c>
      <c r="H42" s="4">
        <f t="shared" si="12"/>
        <v>309450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 t="shared" si="12"/>
        <v>53770274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19820576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2973086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16847490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43641419</v>
      </c>
      <c r="D44" s="143">
        <f>SUMIFS('Plan rashoda za unos u SAP'!$I$3:$I$501,'Plan rashoda za unos u SAP'!$C$3:$C$501,"=11",'Plan rashoda za unos u SAP'!$M$3:$M$501,"=422")</f>
        <v>410000</v>
      </c>
      <c r="E44" s="143">
        <f>SUMIFS('Plan rashoda za unos u SAP'!$I$3:$I$501,'Plan rashoda za unos u SAP'!$C$3:$C$501,"=12",'Plan rashoda za unos u SAP'!$M$3:$M$501,"=422")</f>
        <v>6368785</v>
      </c>
      <c r="F44" s="143">
        <f>SUMIFS('Plan rashoda za unos u SAP'!$I$3:$I$501,'Plan rashoda za unos u SAP'!$C$3:$C$501,"=31",'Plan rashoda za unos u SAP'!$M$3:$M$501,"=422")</f>
        <v>350500</v>
      </c>
      <c r="G44" s="143">
        <f>SUMIFS('Plan rashoda za unos u SAP'!$I$3:$I$501,'Plan rashoda za unos u SAP'!$C$3:$C$501,"=43",'Plan rashoda za unos u SAP'!$M$3:$M$501,"=422")</f>
        <v>235000</v>
      </c>
      <c r="H44" s="143">
        <f>SUMIFS('Plan rashoda za unos u SAP'!$I$3:$I$501,'Plan rashoda za unos u SAP'!$C$3:$C$501,"=51",'Plan rashoda za unos u SAP'!$M$3:$M$501,"=422")</f>
        <v>187350</v>
      </c>
      <c r="I44" s="143">
        <f>SUMIFS('Plan rashoda za unos u SAP'!$I$3:$I$501,'Plan rashoda za unos u SAP'!$C$3:$C$501,"=52",'Plan rashoda za unos u SAP'!$M$3:$M$501,"=422")</f>
        <v>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36089784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0</v>
      </c>
      <c r="D46" s="143">
        <f>SUMIFS('Plan rashoda za unos u SAP'!$I$3:$I$501,'Plan rashoda za unos u SAP'!$C$3:$C$501,"=11",'Plan rashoda za unos u SAP'!$M$3:$M$501,"=424")</f>
        <v>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1102100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147000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122100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833000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42721503</v>
      </c>
      <c r="D71" s="123">
        <f t="shared" ref="D71:P71" si="21">+D72+D80+D86</f>
        <v>30687939</v>
      </c>
      <c r="E71" s="123">
        <f t="shared" si="21"/>
        <v>18986</v>
      </c>
      <c r="F71" s="123">
        <f t="shared" si="21"/>
        <v>6985545</v>
      </c>
      <c r="G71" s="123">
        <f t="shared" si="21"/>
        <v>2249109</v>
      </c>
      <c r="H71" s="123">
        <f t="shared" si="21"/>
        <v>1970967</v>
      </c>
      <c r="I71" s="123">
        <f t="shared" si="21"/>
        <v>546871</v>
      </c>
      <c r="J71" s="123">
        <f t="shared" si="21"/>
        <v>0</v>
      </c>
      <c r="K71" s="123">
        <f t="shared" si="21"/>
        <v>0</v>
      </c>
      <c r="L71" s="123">
        <f t="shared" si="21"/>
        <v>107586</v>
      </c>
      <c r="M71" s="123">
        <f t="shared" si="21"/>
        <v>150000</v>
      </c>
      <c r="N71" s="123">
        <f t="shared" si="21"/>
        <v>0</v>
      </c>
      <c r="O71" s="123">
        <f t="shared" si="21"/>
        <v>4500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41732991</v>
      </c>
      <c r="D72" s="132">
        <f t="shared" ref="D72:P72" si="22">SUM(D73:D79)</f>
        <v>30268849</v>
      </c>
      <c r="E72" s="132">
        <f t="shared" si="22"/>
        <v>18986</v>
      </c>
      <c r="F72" s="132">
        <f t="shared" si="22"/>
        <v>6614945</v>
      </c>
      <c r="G72" s="132">
        <f t="shared" si="22"/>
        <v>2050287</v>
      </c>
      <c r="H72" s="132">
        <f t="shared" si="22"/>
        <v>1970967</v>
      </c>
      <c r="I72" s="132">
        <f t="shared" si="22"/>
        <v>546871</v>
      </c>
      <c r="J72" s="132">
        <f t="shared" si="22"/>
        <v>0</v>
      </c>
      <c r="K72" s="132">
        <f t="shared" si="22"/>
        <v>0</v>
      </c>
      <c r="L72" s="132">
        <f t="shared" si="22"/>
        <v>107586</v>
      </c>
      <c r="M72" s="132">
        <f t="shared" si="22"/>
        <v>150000</v>
      </c>
      <c r="N72" s="132">
        <f t="shared" si="22"/>
        <v>0</v>
      </c>
      <c r="O72" s="132">
        <f t="shared" si="22"/>
        <v>4500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28899176</v>
      </c>
      <c r="D73" s="143">
        <f>SUMIFS('Plan rashoda za unos u SAP'!$J$3:$J$501,'Plan rashoda za unos u SAP'!$C$3:$C$501,"=11",'Plan rashoda za unos u SAP'!$N$3:$N$501,"=31")</f>
        <v>26552604</v>
      </c>
      <c r="E73" s="143">
        <f>SUMIFS('Plan rashoda za unos u SAP'!$J$3:$J$501,'Plan rashoda za unos u SAP'!$C$3:$C$501,"=12",'Plan rashoda za unos u SAP'!$N$3:$N$501,"=31")</f>
        <v>3360</v>
      </c>
      <c r="F73" s="143">
        <f>SUMIFS('Plan rashoda za unos u SAP'!$J$3:$J$501,'Plan rashoda za unos u SAP'!$C$3:$C$501,"=31",'Plan rashoda za unos u SAP'!$N$3:$N$501,"=31")</f>
        <v>692750</v>
      </c>
      <c r="G73" s="143">
        <f>SUMIFS('Plan rashoda za unos u SAP'!$J$3:$J$501,'Plan rashoda za unos u SAP'!$C$3:$C$501,"=43",'Plan rashoda za unos u SAP'!$N$3:$N$501,"=31")</f>
        <v>499704</v>
      </c>
      <c r="H73" s="143">
        <f>SUMIFS('Plan rashoda za unos u SAP'!$J$3:$J$501,'Plan rashoda za unos u SAP'!$C$3:$C$501,"=51",'Plan rashoda za unos u SAP'!$N$3:$N$501,"=31")</f>
        <v>1036309</v>
      </c>
      <c r="I73" s="143">
        <f>SUMIFS('Plan rashoda za unos u SAP'!$J$3:$J$501,'Plan rashoda za unos u SAP'!$C$3:$C$501,"=52",'Plan rashoda za unos u SAP'!$N$3:$N$501,"=31")</f>
        <v>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19040</v>
      </c>
      <c r="M73" s="143">
        <f>SUMIFS('Plan rashoda za unos u SAP'!$J$3:$J$501,'Plan rashoda za unos u SAP'!$C$3:$C$501,"=61",'Plan rashoda za unos u SAP'!$N$3:$N$501,"=31")</f>
        <v>95409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12760015</v>
      </c>
      <c r="D74" s="143">
        <f>SUMIFS('Plan rashoda za unos u SAP'!$J$3:$J$501,'Plan rashoda za unos u SAP'!$C$3:$C$501,"=11",'Plan rashoda za unos u SAP'!$N$3:$N$501,"=32")</f>
        <v>3702445</v>
      </c>
      <c r="E74" s="143">
        <f>SUMIFS('Plan rashoda za unos u SAP'!$J$3:$J$501,'Plan rashoda za unos u SAP'!$C$3:$C$501,"=12",'Plan rashoda za unos u SAP'!$N$3:$N$501,"=32")</f>
        <v>15626</v>
      </c>
      <c r="F74" s="143">
        <f>SUMIFS('Plan rashoda za unos u SAP'!$J$3:$J$501,'Plan rashoda za unos u SAP'!$C$3:$C$501,"=31",'Plan rashoda za unos u SAP'!$N$3:$N$501,"=32")</f>
        <v>5872195</v>
      </c>
      <c r="G74" s="143">
        <f>SUMIFS('Plan rashoda za unos u SAP'!$J$3:$J$501,'Plan rashoda za unos u SAP'!$C$3:$C$501,"=43",'Plan rashoda za unos u SAP'!$N$3:$N$501,"=32")</f>
        <v>1540583</v>
      </c>
      <c r="H74" s="143">
        <f>SUMIFS('Plan rashoda za unos u SAP'!$J$3:$J$501,'Plan rashoda za unos u SAP'!$C$3:$C$501,"=51",'Plan rashoda za unos u SAP'!$N$3:$N$501,"=32")</f>
        <v>934658</v>
      </c>
      <c r="I74" s="143">
        <f>SUMIFS('Plan rashoda za unos u SAP'!$J$3:$J$501,'Plan rashoda za unos u SAP'!$C$3:$C$501,"=52",'Plan rashoda za unos u SAP'!$N$3:$N$501,"=32")</f>
        <v>546871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88546</v>
      </c>
      <c r="M74" s="143">
        <f>SUMIFS('Plan rashoda za unos u SAP'!$J$3:$J$501,'Plan rashoda za unos u SAP'!$C$3:$C$501,"=61",'Plan rashoda za unos u SAP'!$N$3:$N$501,"=32")</f>
        <v>54591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4500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53800</v>
      </c>
      <c r="D75" s="143">
        <f>SUMIFS('Plan rashoda za unos u SAP'!$J$3:$J$501,'Plan rashoda za unos u SAP'!$C$3:$C$501,"=11",'Plan rashoda za unos u SAP'!$N$3:$N$501,"=34")</f>
        <v>13800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30000</v>
      </c>
      <c r="G75" s="143">
        <f>SUMIFS('Plan rashoda za unos u SAP'!$J$3:$J$501,'Plan rashoda za unos u SAP'!$C$3:$C$501,"=43",'Plan rashoda za unos u SAP'!$N$3:$N$501,"=34")</f>
        <v>10000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20000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20000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988512</v>
      </c>
      <c r="D80" s="133">
        <f t="shared" ref="D80:P80" si="24">SUM(D81:D85)</f>
        <v>419090</v>
      </c>
      <c r="E80" s="133">
        <f t="shared" si="24"/>
        <v>0</v>
      </c>
      <c r="F80" s="133">
        <f t="shared" si="24"/>
        <v>370600</v>
      </c>
      <c r="G80" s="133">
        <f t="shared" si="24"/>
        <v>198822</v>
      </c>
      <c r="H80" s="133">
        <f t="shared" si="24"/>
        <v>0</v>
      </c>
      <c r="I80" s="133">
        <f t="shared" si="24"/>
        <v>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988512</v>
      </c>
      <c r="D82" s="143">
        <f>SUMIFS('Plan rashoda za unos u SAP'!$J$3:$J$501,'Plan rashoda za unos u SAP'!$C$3:$C$501,"=11",'Plan rashoda za unos u SAP'!$N$3:$N$501,"=42")</f>
        <v>419090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370600</v>
      </c>
      <c r="G82" s="143">
        <f>SUMIFS('Plan rashoda za unos u SAP'!$J$3:$J$501,'Plan rashoda za unos u SAP'!$C$3:$C$501,"=43",'Plan rashoda za unos u SAP'!$N$3:$N$501,"=42")</f>
        <v>198822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40372281</v>
      </c>
      <c r="D91" s="123">
        <f t="shared" ref="D91:P91" si="27">D92+D100+D106</f>
        <v>30792013</v>
      </c>
      <c r="E91" s="123">
        <f t="shared" si="27"/>
        <v>0</v>
      </c>
      <c r="F91" s="123">
        <f t="shared" si="27"/>
        <v>6904755</v>
      </c>
      <c r="G91" s="123">
        <f t="shared" si="27"/>
        <v>1920806</v>
      </c>
      <c r="H91" s="123">
        <f t="shared" si="27"/>
        <v>72000</v>
      </c>
      <c r="I91" s="123">
        <f t="shared" si="27"/>
        <v>598207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80000</v>
      </c>
      <c r="N91" s="123">
        <f t="shared" si="27"/>
        <v>0</v>
      </c>
      <c r="O91" s="123">
        <f t="shared" si="27"/>
        <v>4500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39362326</v>
      </c>
      <c r="D92" s="132">
        <f t="shared" ref="D92:P92" si="28">SUM(D93:D99)</f>
        <v>30369058</v>
      </c>
      <c r="E92" s="132">
        <f t="shared" si="28"/>
        <v>0</v>
      </c>
      <c r="F92" s="132">
        <f t="shared" si="28"/>
        <v>6479755</v>
      </c>
      <c r="G92" s="132">
        <f t="shared" si="28"/>
        <v>1758806</v>
      </c>
      <c r="H92" s="132">
        <f t="shared" si="28"/>
        <v>72000</v>
      </c>
      <c r="I92" s="132">
        <f t="shared" si="28"/>
        <v>598207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80000</v>
      </c>
      <c r="N92" s="132">
        <f t="shared" si="28"/>
        <v>0</v>
      </c>
      <c r="O92" s="132">
        <f t="shared" si="28"/>
        <v>4500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27799086</v>
      </c>
      <c r="D93" s="143">
        <f>SUMIFS('Plan rashoda za unos u SAP'!$K$3:$K$501,'Plan rashoda za unos u SAP'!$C$3:$C$501,"=11",'Plan rashoda za unos u SAP'!$N$3:$N$501,"=31")</f>
        <v>26618550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774300</v>
      </c>
      <c r="G93" s="143">
        <f>SUMIFS('Plan rashoda za unos u SAP'!$K$3:$K$501,'Plan rashoda za unos u SAP'!$C$3:$C$501,"=43",'Plan rashoda za unos u SAP'!$N$3:$N$501,"=31")</f>
        <v>334236</v>
      </c>
      <c r="H93" s="143">
        <f>SUMIFS('Plan rashoda za unos u SAP'!$K$3:$K$501,'Plan rashoda za unos u SAP'!$C$3:$C$501,"=51",'Plan rashoda za unos u SAP'!$N$3:$N$501,"=31")</f>
        <v>72000</v>
      </c>
      <c r="I93" s="143">
        <f>SUMIFS('Plan rashoda za unos u SAP'!$K$3:$K$501,'Plan rashoda za unos u SAP'!$C$3:$C$501,"=52",'Plan rashoda za unos u SAP'!$N$3:$N$501,"=31")</f>
        <v>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11489317</v>
      </c>
      <c r="D94" s="143">
        <f>SUMIFS('Plan rashoda za unos u SAP'!$K$3:$K$501,'Plan rashoda za unos u SAP'!$C$3:$C$501,"=11",'Plan rashoda za unos u SAP'!$N$3:$N$501,"=32")</f>
        <v>3736585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5655455</v>
      </c>
      <c r="G94" s="143">
        <f>SUMIFS('Plan rashoda za unos u SAP'!$K$3:$K$501,'Plan rashoda za unos u SAP'!$C$3:$C$501,"=43",'Plan rashoda za unos u SAP'!$N$3:$N$501,"=32")</f>
        <v>1414570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598207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80000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4500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53923</v>
      </c>
      <c r="D95" s="143">
        <f>SUMIFS('Plan rashoda za unos u SAP'!$K$3:$K$501,'Plan rashoda za unos u SAP'!$C$3:$C$501,"=11",'Plan rashoda za unos u SAP'!$N$3:$N$501,"=34")</f>
        <v>13923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30000</v>
      </c>
      <c r="G95" s="143">
        <f>SUMIFS('Plan rashoda za unos u SAP'!$K$3:$K$501,'Plan rashoda za unos u SAP'!$C$3:$C$501,"=43",'Plan rashoda za unos u SAP'!$N$3:$N$501,"=34")</f>
        <v>10000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20000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20000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1009955</v>
      </c>
      <c r="D100" s="133">
        <f t="shared" ref="D100:P100" si="30">SUM(D101:D105)</f>
        <v>422955</v>
      </c>
      <c r="E100" s="133">
        <f t="shared" si="30"/>
        <v>0</v>
      </c>
      <c r="F100" s="133">
        <f t="shared" si="30"/>
        <v>425000</v>
      </c>
      <c r="G100" s="133">
        <f t="shared" si="30"/>
        <v>162000</v>
      </c>
      <c r="H100" s="133">
        <f t="shared" si="30"/>
        <v>0</v>
      </c>
      <c r="I100" s="133">
        <f t="shared" si="30"/>
        <v>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1009955</v>
      </c>
      <c r="D102" s="143">
        <f>SUMIFS('Plan rashoda za unos u SAP'!$K$3:$K$501,'Plan rashoda za unos u SAP'!$C$3:$C$501,"=11",'Plan rashoda za unos u SAP'!$N$3:$N$501,"=42")</f>
        <v>422955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425000</v>
      </c>
      <c r="G102" s="143">
        <f>SUMIFS('Plan rashoda za unos u SAP'!$K$3:$K$501,'Plan rashoda za unos u SAP'!$C$3:$C$501,"=43",'Plan rashoda za unos u SAP'!$N$3:$N$501,"=42")</f>
        <v>162000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M28" sqref="M2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5" t="s">
        <v>240</v>
      </c>
      <c r="B10" s="277" t="s">
        <v>241</v>
      </c>
      <c r="C10" s="277" t="s">
        <v>242</v>
      </c>
      <c r="D10" s="280" t="s">
        <v>243</v>
      </c>
      <c r="E10" s="273" t="s">
        <v>853</v>
      </c>
      <c r="F10" s="273" t="s">
        <v>244</v>
      </c>
      <c r="G10" s="273" t="s">
        <v>245</v>
      </c>
      <c r="H10" s="273" t="s">
        <v>854</v>
      </c>
    </row>
    <row r="11" spans="1:8" ht="15.75" thickBot="1">
      <c r="A11" s="276"/>
      <c r="B11" s="278"/>
      <c r="C11" s="279"/>
      <c r="D11" s="281"/>
      <c r="E11" s="282"/>
      <c r="F11" s="274"/>
      <c r="G11" s="274"/>
      <c r="H11" s="274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9" activePane="bottomLeft" state="frozen"/>
      <selection pane="bottomLeft" activeCell="A59" sqref="A59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3" t="s">
        <v>855</v>
      </c>
      <c r="B1" s="283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 ht="15" customHeight="1">
      <c r="A3" s="154">
        <v>51</v>
      </c>
      <c r="B3" s="149" t="str">
        <f>IFERROR(VLOOKUP(A3,$R$6:$S$16,2,FALSE),"")</f>
        <v>Pomoći EU</v>
      </c>
      <c r="C3" s="154">
        <v>3111</v>
      </c>
      <c r="D3" s="149" t="str">
        <f t="shared" ref="D3:D66" si="0">IFERROR(VLOOKUP(C3,$U$5:$W$129,2,FALSE),"")</f>
        <v>Plaće za redovan rad</v>
      </c>
      <c r="E3" s="201"/>
      <c r="F3" s="149" t="str">
        <f>IFERROR(VLOOKUP(E3,$AA$6:$AB$200,2,FALSE),"")</f>
        <v/>
      </c>
      <c r="G3" s="198">
        <v>181610</v>
      </c>
      <c r="H3" s="198">
        <v>57167</v>
      </c>
      <c r="I3" s="198">
        <v>0</v>
      </c>
      <c r="J3" s="226" t="s">
        <v>1681</v>
      </c>
      <c r="K3" s="225" t="s">
        <v>1670</v>
      </c>
      <c r="L3" s="225" t="s">
        <v>1671</v>
      </c>
      <c r="M3" s="226" t="s">
        <v>1672</v>
      </c>
      <c r="N3" s="226" t="s">
        <v>1689</v>
      </c>
      <c r="P3" s="144" t="str">
        <f>LEFT(C3,3)</f>
        <v>311</v>
      </c>
      <c r="Q3" s="144" t="str">
        <f>LEFT(C3,2)</f>
        <v>31</v>
      </c>
    </row>
    <row r="4" spans="1:28">
      <c r="A4" s="154">
        <v>51</v>
      </c>
      <c r="B4" s="149" t="str">
        <f t="shared" ref="B4:B67" si="1">IFERROR(VLOOKUP(A4,$R$6:$S$16,2,FALSE),"")</f>
        <v>Pomoći EU</v>
      </c>
      <c r="C4" s="154">
        <v>3132</v>
      </c>
      <c r="D4" s="149" t="str">
        <f t="shared" si="0"/>
        <v>Doprinosi za obvezno zdravstveno osiguranje</v>
      </c>
      <c r="E4" s="201"/>
      <c r="F4" s="149" t="str">
        <f t="shared" ref="F4:F67" si="2">IFERROR(VLOOKUP(E4,$AA$6:$AB$200,2,FALSE),"")</f>
        <v/>
      </c>
      <c r="G4" s="198">
        <v>29965</v>
      </c>
      <c r="H4" s="198">
        <v>9433</v>
      </c>
      <c r="I4" s="198">
        <v>0</v>
      </c>
      <c r="J4" s="226" t="s">
        <v>1681</v>
      </c>
      <c r="K4" s="225"/>
      <c r="L4" s="225"/>
      <c r="M4" s="226"/>
      <c r="N4" s="226"/>
      <c r="P4" s="144" t="str">
        <f t="shared" ref="P4:P67" si="3">LEFT(C4,3)</f>
        <v>313</v>
      </c>
      <c r="Q4" s="144" t="str">
        <f t="shared" ref="Q4:Q67" si="4">LEFT(C4,2)</f>
        <v>31</v>
      </c>
      <c r="U4" s="150"/>
      <c r="V4" s="150"/>
    </row>
    <row r="5" spans="1:28">
      <c r="A5" s="154">
        <v>51</v>
      </c>
      <c r="B5" s="149" t="str">
        <f t="shared" si="1"/>
        <v>Pomoći EU</v>
      </c>
      <c r="C5" s="154">
        <v>3211</v>
      </c>
      <c r="D5" s="149" t="str">
        <f t="shared" si="0"/>
        <v>Službena putovanja</v>
      </c>
      <c r="E5" s="201"/>
      <c r="F5" s="149" t="str">
        <f t="shared" si="2"/>
        <v/>
      </c>
      <c r="G5" s="198">
        <v>23000</v>
      </c>
      <c r="H5" s="198">
        <v>10000</v>
      </c>
      <c r="I5" s="198">
        <v>0</v>
      </c>
      <c r="J5" s="226" t="s">
        <v>1681</v>
      </c>
      <c r="K5" s="225"/>
      <c r="L5" s="225"/>
      <c r="M5" s="226"/>
      <c r="N5" s="226"/>
      <c r="P5" s="144" t="str">
        <f t="shared" si="3"/>
        <v>321</v>
      </c>
      <c r="Q5" s="144" t="str">
        <f t="shared" si="4"/>
        <v>32</v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>
        <v>51</v>
      </c>
      <c r="B6" s="149" t="str">
        <f t="shared" si="1"/>
        <v>Pomoći EU</v>
      </c>
      <c r="C6" s="154">
        <v>3237</v>
      </c>
      <c r="D6" s="149" t="str">
        <f t="shared" si="0"/>
        <v>Intelektualne i osobne usluge</v>
      </c>
      <c r="E6" s="201"/>
      <c r="F6" s="149" t="str">
        <f t="shared" si="2"/>
        <v/>
      </c>
      <c r="G6" s="198">
        <v>565000</v>
      </c>
      <c r="H6" s="198">
        <v>20000</v>
      </c>
      <c r="I6" s="198">
        <v>0</v>
      </c>
      <c r="J6" s="226" t="s">
        <v>1681</v>
      </c>
      <c r="K6" s="225"/>
      <c r="L6" s="225"/>
      <c r="M6" s="226"/>
      <c r="N6" s="226"/>
      <c r="P6" s="144" t="str">
        <f t="shared" si="3"/>
        <v>323</v>
      </c>
      <c r="Q6" s="144" t="str">
        <f t="shared" si="4"/>
        <v>32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/>
      <c r="B7" s="149" t="str">
        <f t="shared" si="1"/>
        <v/>
      </c>
      <c r="C7" s="154"/>
      <c r="D7" s="149" t="str">
        <f t="shared" si="0"/>
        <v/>
      </c>
      <c r="E7" s="201"/>
      <c r="F7" s="149" t="str">
        <f t="shared" si="2"/>
        <v/>
      </c>
      <c r="G7" s="198"/>
      <c r="H7" s="198"/>
      <c r="I7" s="198"/>
      <c r="J7" s="226"/>
      <c r="K7" s="225"/>
      <c r="L7" s="225"/>
      <c r="M7" s="226"/>
      <c r="N7" s="226"/>
      <c r="P7" s="144" t="str">
        <f t="shared" si="3"/>
        <v/>
      </c>
      <c r="Q7" s="144" t="str">
        <f t="shared" si="4"/>
        <v/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>
        <v>51</v>
      </c>
      <c r="B8" s="149" t="str">
        <f t="shared" si="1"/>
        <v>Pomoći EU</v>
      </c>
      <c r="C8" s="154">
        <v>3111</v>
      </c>
      <c r="D8" s="149" t="str">
        <f t="shared" si="0"/>
        <v>Plaće za redovan rad</v>
      </c>
      <c r="E8" s="201"/>
      <c r="F8" s="149" t="str">
        <f t="shared" si="2"/>
        <v/>
      </c>
      <c r="G8" s="198">
        <v>229212</v>
      </c>
      <c r="H8" s="198">
        <v>115000</v>
      </c>
      <c r="I8" s="198">
        <v>0</v>
      </c>
      <c r="J8" s="226" t="s">
        <v>1682</v>
      </c>
      <c r="K8" s="225" t="s">
        <v>1670</v>
      </c>
      <c r="L8" s="225" t="s">
        <v>1671</v>
      </c>
      <c r="M8" s="226" t="s">
        <v>1672</v>
      </c>
      <c r="N8" s="226" t="s">
        <v>1690</v>
      </c>
      <c r="P8" s="144" t="str">
        <f t="shared" si="3"/>
        <v>311</v>
      </c>
      <c r="Q8" s="144" t="str">
        <f t="shared" si="4"/>
        <v>31</v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>
        <v>51</v>
      </c>
      <c r="B9" s="149" t="str">
        <f t="shared" si="1"/>
        <v>Pomoći EU</v>
      </c>
      <c r="C9" s="154">
        <v>3121</v>
      </c>
      <c r="D9" s="149" t="str">
        <f t="shared" si="0"/>
        <v>Ostali rashodi za zaposlene</v>
      </c>
      <c r="E9" s="201"/>
      <c r="F9" s="149" t="str">
        <f t="shared" si="2"/>
        <v/>
      </c>
      <c r="G9" s="198">
        <v>4823</v>
      </c>
      <c r="H9" s="198">
        <v>0</v>
      </c>
      <c r="I9" s="198">
        <v>0</v>
      </c>
      <c r="J9" s="226" t="s">
        <v>1682</v>
      </c>
      <c r="K9" s="225"/>
      <c r="L9" s="225"/>
      <c r="M9" s="226"/>
      <c r="N9" s="226"/>
      <c r="P9" s="144" t="str">
        <f t="shared" si="3"/>
        <v>312</v>
      </c>
      <c r="Q9" s="144" t="str">
        <f t="shared" si="4"/>
        <v>31</v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>
        <v>51</v>
      </c>
      <c r="B10" s="149" t="str">
        <f t="shared" si="1"/>
        <v>Pomoći EU</v>
      </c>
      <c r="C10" s="154">
        <v>3132</v>
      </c>
      <c r="D10" s="149" t="str">
        <f t="shared" si="0"/>
        <v>Doprinosi za obvezno zdravstveno osiguranje</v>
      </c>
      <c r="E10" s="201"/>
      <c r="F10" s="149" t="str">
        <f t="shared" si="2"/>
        <v/>
      </c>
      <c r="G10" s="198">
        <v>37812</v>
      </c>
      <c r="H10" s="198">
        <v>18500</v>
      </c>
      <c r="I10" s="198">
        <v>0</v>
      </c>
      <c r="J10" s="226" t="s">
        <v>1682</v>
      </c>
      <c r="K10" s="225"/>
      <c r="L10" s="225"/>
      <c r="M10" s="226"/>
      <c r="N10" s="226"/>
      <c r="P10" s="144" t="str">
        <f t="shared" si="3"/>
        <v>313</v>
      </c>
      <c r="Q10" s="144" t="str">
        <f t="shared" si="4"/>
        <v>31</v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>
        <v>51</v>
      </c>
      <c r="B11" s="149" t="str">
        <f t="shared" si="1"/>
        <v>Pomoći EU</v>
      </c>
      <c r="C11" s="154">
        <v>3211</v>
      </c>
      <c r="D11" s="149" t="str">
        <f t="shared" si="0"/>
        <v>Službena putovanja</v>
      </c>
      <c r="E11" s="201"/>
      <c r="F11" s="149" t="str">
        <f t="shared" si="2"/>
        <v/>
      </c>
      <c r="G11" s="198">
        <v>31720</v>
      </c>
      <c r="H11" s="198">
        <v>50995</v>
      </c>
      <c r="I11" s="198">
        <v>0</v>
      </c>
      <c r="J11" s="226" t="s">
        <v>1682</v>
      </c>
      <c r="K11" s="225"/>
      <c r="L11" s="225"/>
      <c r="M11" s="226"/>
      <c r="N11" s="226"/>
      <c r="P11" s="144" t="str">
        <f t="shared" si="3"/>
        <v>321</v>
      </c>
      <c r="Q11" s="144" t="str">
        <f t="shared" si="4"/>
        <v>32</v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>
        <v>51</v>
      </c>
      <c r="B12" s="149" t="str">
        <f t="shared" si="1"/>
        <v>Pomoći EU</v>
      </c>
      <c r="C12" s="154">
        <v>3212</v>
      </c>
      <c r="D12" s="149" t="str">
        <f t="shared" si="0"/>
        <v>Naknade za prijevoz, za rad na terenu i odvojeni život</v>
      </c>
      <c r="E12" s="201"/>
      <c r="F12" s="149" t="str">
        <f t="shared" si="2"/>
        <v/>
      </c>
      <c r="G12" s="198">
        <v>9012</v>
      </c>
      <c r="H12" s="198">
        <v>3700</v>
      </c>
      <c r="I12" s="198">
        <v>0</v>
      </c>
      <c r="J12" s="226" t="s">
        <v>1682</v>
      </c>
      <c r="K12" s="225"/>
      <c r="L12" s="225"/>
      <c r="M12" s="226"/>
      <c r="N12" s="226"/>
      <c r="P12" s="144" t="str">
        <f t="shared" si="3"/>
        <v>321</v>
      </c>
      <c r="Q12" s="144" t="str">
        <f t="shared" si="4"/>
        <v>32</v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>
        <v>51</v>
      </c>
      <c r="B13" s="149" t="str">
        <f t="shared" si="1"/>
        <v>Pomoći EU</v>
      </c>
      <c r="C13" s="154">
        <v>3221</v>
      </c>
      <c r="D13" s="149" t="str">
        <f t="shared" si="0"/>
        <v>Uredski materijal i ostali materijalni rashodi</v>
      </c>
      <c r="E13" s="201"/>
      <c r="F13" s="149" t="str">
        <f t="shared" si="2"/>
        <v/>
      </c>
      <c r="G13" s="198">
        <v>2400</v>
      </c>
      <c r="H13" s="198">
        <v>5000</v>
      </c>
      <c r="I13" s="198">
        <v>0</v>
      </c>
      <c r="J13" s="226" t="s">
        <v>1682</v>
      </c>
      <c r="K13" s="225"/>
      <c r="L13" s="225"/>
      <c r="M13" s="226"/>
      <c r="N13" s="226"/>
      <c r="P13" s="144" t="str">
        <f t="shared" si="3"/>
        <v>322</v>
      </c>
      <c r="Q13" s="144" t="str">
        <f t="shared" si="4"/>
        <v>32</v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>
        <v>51</v>
      </c>
      <c r="B14" s="149" t="str">
        <f t="shared" si="1"/>
        <v>Pomoći EU</v>
      </c>
      <c r="C14" s="154">
        <v>3223</v>
      </c>
      <c r="D14" s="149" t="str">
        <f t="shared" si="0"/>
        <v>Energija</v>
      </c>
      <c r="E14" s="201"/>
      <c r="F14" s="149" t="str">
        <f t="shared" si="2"/>
        <v/>
      </c>
      <c r="G14" s="198">
        <v>3590</v>
      </c>
      <c r="H14" s="198">
        <v>6377</v>
      </c>
      <c r="I14" s="198">
        <v>0</v>
      </c>
      <c r="J14" s="226" t="s">
        <v>1682</v>
      </c>
      <c r="K14" s="225"/>
      <c r="L14" s="225"/>
      <c r="M14" s="226"/>
      <c r="N14" s="226"/>
      <c r="P14" s="144" t="str">
        <f t="shared" si="3"/>
        <v>322</v>
      </c>
      <c r="Q14" s="144" t="str">
        <f t="shared" si="4"/>
        <v>32</v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>
        <v>51</v>
      </c>
      <c r="B15" s="149" t="str">
        <f t="shared" si="1"/>
        <v>Pomoći EU</v>
      </c>
      <c r="C15" s="154">
        <v>3231</v>
      </c>
      <c r="D15" s="149" t="str">
        <f t="shared" si="0"/>
        <v>Usluge telefona, pošte i prijevoza</v>
      </c>
      <c r="E15" s="201"/>
      <c r="F15" s="149" t="str">
        <f t="shared" si="2"/>
        <v/>
      </c>
      <c r="G15" s="198">
        <v>4590</v>
      </c>
      <c r="H15" s="198">
        <v>6377</v>
      </c>
      <c r="I15" s="198">
        <v>0</v>
      </c>
      <c r="J15" s="226" t="s">
        <v>1682</v>
      </c>
      <c r="K15" s="225"/>
      <c r="L15" s="225"/>
      <c r="M15" s="226"/>
      <c r="N15" s="226"/>
      <c r="P15" s="144" t="str">
        <f t="shared" si="3"/>
        <v>323</v>
      </c>
      <c r="Q15" s="144" t="str">
        <f t="shared" si="4"/>
        <v>32</v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>
        <v>51</v>
      </c>
      <c r="B16" s="149" t="str">
        <f t="shared" si="1"/>
        <v>Pomoći EU</v>
      </c>
      <c r="C16" s="154">
        <v>3233</v>
      </c>
      <c r="D16" s="149" t="str">
        <f t="shared" si="0"/>
        <v>Usluge promidžbe i informiranja</v>
      </c>
      <c r="E16" s="201"/>
      <c r="F16" s="149" t="str">
        <f t="shared" si="2"/>
        <v/>
      </c>
      <c r="G16" s="198">
        <v>5000</v>
      </c>
      <c r="H16" s="198">
        <v>0</v>
      </c>
      <c r="I16" s="198">
        <v>0</v>
      </c>
      <c r="J16" s="226" t="s">
        <v>1682</v>
      </c>
      <c r="K16" s="225"/>
      <c r="L16" s="225"/>
      <c r="M16" s="226"/>
      <c r="N16" s="226"/>
      <c r="P16" s="144" t="str">
        <f t="shared" si="3"/>
        <v>323</v>
      </c>
      <c r="Q16" s="144" t="str">
        <f t="shared" si="4"/>
        <v>32</v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>
        <v>51</v>
      </c>
      <c r="B17" s="149" t="str">
        <f t="shared" si="1"/>
        <v>Pomoći EU</v>
      </c>
      <c r="C17" s="154">
        <v>3237</v>
      </c>
      <c r="D17" s="149" t="str">
        <f t="shared" si="0"/>
        <v>Intelektualne i osobne usluge</v>
      </c>
      <c r="E17" s="201"/>
      <c r="F17" s="149" t="str">
        <f t="shared" si="2"/>
        <v/>
      </c>
      <c r="G17" s="198">
        <v>415400</v>
      </c>
      <c r="H17" s="198">
        <v>116521</v>
      </c>
      <c r="I17" s="198">
        <v>0</v>
      </c>
      <c r="J17" s="226" t="s">
        <v>1682</v>
      </c>
      <c r="K17" s="225"/>
      <c r="L17" s="225"/>
      <c r="M17" s="226"/>
      <c r="N17" s="226"/>
      <c r="P17" s="144" t="str">
        <f t="shared" si="3"/>
        <v>323</v>
      </c>
      <c r="Q17" s="144" t="str">
        <f t="shared" si="4"/>
        <v>32</v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>
        <v>51</v>
      </c>
      <c r="B18" s="149" t="str">
        <f t="shared" si="1"/>
        <v>Pomoći EU</v>
      </c>
      <c r="C18" s="154">
        <v>3239</v>
      </c>
      <c r="D18" s="149" t="str">
        <f t="shared" si="0"/>
        <v>Ostale usluge</v>
      </c>
      <c r="E18" s="201"/>
      <c r="F18" s="149" t="str">
        <f t="shared" si="2"/>
        <v/>
      </c>
      <c r="G18" s="198">
        <v>6000</v>
      </c>
      <c r="H18" s="198">
        <v>7000</v>
      </c>
      <c r="I18" s="198"/>
      <c r="J18" s="226" t="s">
        <v>1682</v>
      </c>
      <c r="K18" s="225"/>
      <c r="L18" s="225"/>
      <c r="M18" s="226"/>
      <c r="N18" s="226"/>
      <c r="P18" s="144" t="str">
        <f t="shared" si="3"/>
        <v>323</v>
      </c>
      <c r="Q18" s="144" t="str">
        <f t="shared" si="4"/>
        <v>32</v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>
        <v>51</v>
      </c>
      <c r="B19" s="149" t="str">
        <f t="shared" si="1"/>
        <v>Pomoći EU</v>
      </c>
      <c r="C19" s="154">
        <v>3111</v>
      </c>
      <c r="D19" s="149" t="str">
        <f t="shared" si="0"/>
        <v>Plaće za redovan rad</v>
      </c>
      <c r="E19" s="201"/>
      <c r="F19" s="149" t="str">
        <f t="shared" si="2"/>
        <v/>
      </c>
      <c r="G19" s="198">
        <v>142886</v>
      </c>
      <c r="H19" s="198">
        <v>71443</v>
      </c>
      <c r="I19" s="198">
        <v>0</v>
      </c>
      <c r="J19" s="226" t="s">
        <v>1683</v>
      </c>
      <c r="K19" s="225" t="s">
        <v>1670</v>
      </c>
      <c r="L19" s="225" t="s">
        <v>1671</v>
      </c>
      <c r="M19" s="226" t="s">
        <v>1673</v>
      </c>
      <c r="N19" s="226" t="s">
        <v>1691</v>
      </c>
      <c r="P19" s="144" t="str">
        <f t="shared" si="3"/>
        <v>311</v>
      </c>
      <c r="Q19" s="144" t="str">
        <f t="shared" si="4"/>
        <v>31</v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>
        <v>51</v>
      </c>
      <c r="B20" s="149" t="str">
        <f t="shared" si="1"/>
        <v>Pomoći EU</v>
      </c>
      <c r="C20" s="154">
        <v>3132</v>
      </c>
      <c r="D20" s="149" t="str">
        <f t="shared" si="0"/>
        <v>Doprinosi za obvezno zdravstveno osiguranje</v>
      </c>
      <c r="E20" s="201"/>
      <c r="F20" s="149" t="str">
        <f t="shared" si="2"/>
        <v/>
      </c>
      <c r="G20" s="198">
        <v>23576</v>
      </c>
      <c r="H20" s="198">
        <v>11788</v>
      </c>
      <c r="I20" s="198">
        <v>0</v>
      </c>
      <c r="J20" s="226" t="s">
        <v>1683</v>
      </c>
      <c r="K20" s="225"/>
      <c r="L20" s="225"/>
      <c r="M20" s="226"/>
      <c r="N20" s="226"/>
      <c r="P20" s="144" t="str">
        <f t="shared" si="3"/>
        <v>313</v>
      </c>
      <c r="Q20" s="144" t="str">
        <f t="shared" si="4"/>
        <v>31</v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>
        <v>51</v>
      </c>
      <c r="B21" s="149" t="str">
        <f t="shared" si="1"/>
        <v>Pomoći EU</v>
      </c>
      <c r="C21" s="154">
        <v>3211</v>
      </c>
      <c r="D21" s="149" t="str">
        <f t="shared" si="0"/>
        <v>Službena putovanja</v>
      </c>
      <c r="E21" s="201"/>
      <c r="F21" s="149" t="str">
        <f t="shared" si="2"/>
        <v/>
      </c>
      <c r="G21" s="198">
        <v>44000</v>
      </c>
      <c r="H21" s="198">
        <v>12000</v>
      </c>
      <c r="I21" s="198">
        <v>0</v>
      </c>
      <c r="J21" s="226" t="s">
        <v>1683</v>
      </c>
      <c r="K21" s="225"/>
      <c r="L21" s="225"/>
      <c r="M21" s="226"/>
      <c r="N21" s="226"/>
      <c r="P21" s="144" t="str">
        <f t="shared" si="3"/>
        <v>321</v>
      </c>
      <c r="Q21" s="144" t="str">
        <f t="shared" si="4"/>
        <v>32</v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>
        <v>51</v>
      </c>
      <c r="B22" s="149" t="str">
        <f t="shared" si="1"/>
        <v>Pomoći EU</v>
      </c>
      <c r="C22" s="154">
        <v>3212</v>
      </c>
      <c r="D22" s="149" t="str">
        <f t="shared" si="0"/>
        <v>Naknade za prijevoz, za rad na terenu i odvojeni život</v>
      </c>
      <c r="E22" s="201"/>
      <c r="F22" s="149" t="str">
        <f t="shared" si="2"/>
        <v/>
      </c>
      <c r="G22" s="198">
        <v>5520</v>
      </c>
      <c r="H22" s="198">
        <v>2760</v>
      </c>
      <c r="I22" s="198">
        <v>0</v>
      </c>
      <c r="J22" s="226" t="s">
        <v>1683</v>
      </c>
      <c r="K22" s="225"/>
      <c r="L22" s="225"/>
      <c r="M22" s="226"/>
      <c r="N22" s="226"/>
      <c r="P22" s="144" t="str">
        <f t="shared" si="3"/>
        <v>321</v>
      </c>
      <c r="Q22" s="144" t="str">
        <f t="shared" si="4"/>
        <v>32</v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>
        <v>51</v>
      </c>
      <c r="B23" s="149" t="str">
        <f t="shared" si="1"/>
        <v>Pomoći EU</v>
      </c>
      <c r="C23" s="154">
        <v>3237</v>
      </c>
      <c r="D23" s="149" t="str">
        <f t="shared" si="0"/>
        <v>Intelektualne i osobne usluge</v>
      </c>
      <c r="E23" s="201"/>
      <c r="F23" s="149" t="str">
        <f t="shared" si="2"/>
        <v/>
      </c>
      <c r="G23" s="198">
        <v>59600</v>
      </c>
      <c r="H23" s="198">
        <v>0</v>
      </c>
      <c r="I23" s="198">
        <v>0</v>
      </c>
      <c r="J23" s="226" t="s">
        <v>1683</v>
      </c>
      <c r="K23" s="225"/>
      <c r="L23" s="225"/>
      <c r="M23" s="226"/>
      <c r="N23" s="226"/>
      <c r="P23" s="144" t="str">
        <f t="shared" si="3"/>
        <v>323</v>
      </c>
      <c r="Q23" s="144" t="str">
        <f t="shared" si="4"/>
        <v>32</v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/>
      <c r="H24" s="198"/>
      <c r="I24" s="198"/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>
        <v>51</v>
      </c>
      <c r="B25" s="149" t="str">
        <f t="shared" si="1"/>
        <v>Pomoći EU</v>
      </c>
      <c r="C25" s="154">
        <v>3111</v>
      </c>
      <c r="D25" s="149" t="str">
        <f t="shared" si="0"/>
        <v>Plaće za redovan rad</v>
      </c>
      <c r="E25" s="201"/>
      <c r="F25" s="149" t="str">
        <f t="shared" si="2"/>
        <v/>
      </c>
      <c r="G25" s="198">
        <v>219533</v>
      </c>
      <c r="H25" s="198">
        <v>121841</v>
      </c>
      <c r="I25" s="198">
        <v>0</v>
      </c>
      <c r="J25" s="226" t="s">
        <v>1684</v>
      </c>
      <c r="K25" s="225" t="s">
        <v>1670</v>
      </c>
      <c r="L25" s="225" t="s">
        <v>1671</v>
      </c>
      <c r="M25" s="226" t="s">
        <v>1674</v>
      </c>
      <c r="N25" s="226" t="s">
        <v>1692</v>
      </c>
      <c r="P25" s="144" t="str">
        <f t="shared" si="3"/>
        <v>311</v>
      </c>
      <c r="Q25" s="144" t="str">
        <f t="shared" si="4"/>
        <v>31</v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>
        <v>51</v>
      </c>
      <c r="B26" s="149" t="str">
        <f t="shared" si="1"/>
        <v>Pomoći EU</v>
      </c>
      <c r="C26" s="154">
        <v>3121</v>
      </c>
      <c r="D26" s="149" t="str">
        <f t="shared" si="0"/>
        <v>Ostali rashodi za zaposlene</v>
      </c>
      <c r="E26" s="201"/>
      <c r="F26" s="149" t="str">
        <f t="shared" si="2"/>
        <v/>
      </c>
      <c r="G26" s="198">
        <v>5520</v>
      </c>
      <c r="H26" s="198">
        <v>2760</v>
      </c>
      <c r="I26" s="198">
        <v>0</v>
      </c>
      <c r="J26" s="226" t="s">
        <v>1684</v>
      </c>
      <c r="K26" s="225"/>
      <c r="L26" s="225"/>
      <c r="M26" s="226"/>
      <c r="N26" s="226"/>
      <c r="P26" s="144" t="str">
        <f t="shared" si="3"/>
        <v>312</v>
      </c>
      <c r="Q26" s="144" t="str">
        <f t="shared" si="4"/>
        <v>31</v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>
        <v>51</v>
      </c>
      <c r="B27" s="149" t="str">
        <f t="shared" si="1"/>
        <v>Pomoći EU</v>
      </c>
      <c r="C27" s="154">
        <v>3132</v>
      </c>
      <c r="D27" s="149" t="str">
        <f t="shared" si="0"/>
        <v>Doprinosi za obvezno zdravstveno osiguranje</v>
      </c>
      <c r="E27" s="201"/>
      <c r="F27" s="149" t="str">
        <f t="shared" si="2"/>
        <v/>
      </c>
      <c r="G27" s="198">
        <v>36223</v>
      </c>
      <c r="H27" s="198">
        <v>20103</v>
      </c>
      <c r="I27" s="198">
        <v>0</v>
      </c>
      <c r="J27" s="226" t="s">
        <v>1684</v>
      </c>
      <c r="K27" s="225"/>
      <c r="L27" s="225"/>
      <c r="M27" s="226"/>
      <c r="N27" s="226"/>
      <c r="P27" s="144" t="str">
        <f t="shared" si="3"/>
        <v>313</v>
      </c>
      <c r="Q27" s="144" t="str">
        <f t="shared" si="4"/>
        <v>31</v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>
        <v>51</v>
      </c>
      <c r="B28" s="149" t="str">
        <f t="shared" si="1"/>
        <v>Pomoći EU</v>
      </c>
      <c r="C28" s="154">
        <v>3211</v>
      </c>
      <c r="D28" s="149" t="str">
        <f t="shared" si="0"/>
        <v>Službena putovanja</v>
      </c>
      <c r="E28" s="201"/>
      <c r="F28" s="149" t="str">
        <f t="shared" si="2"/>
        <v/>
      </c>
      <c r="G28" s="198">
        <v>40000</v>
      </c>
      <c r="H28" s="198">
        <v>20000</v>
      </c>
      <c r="I28" s="198">
        <v>0</v>
      </c>
      <c r="J28" s="226" t="s">
        <v>1684</v>
      </c>
      <c r="K28" s="225"/>
      <c r="L28" s="225"/>
      <c r="M28" s="226"/>
      <c r="N28" s="226"/>
      <c r="P28" s="144" t="str">
        <f t="shared" si="3"/>
        <v>321</v>
      </c>
      <c r="Q28" s="144" t="str">
        <f t="shared" si="4"/>
        <v>32</v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>
        <v>51</v>
      </c>
      <c r="B29" s="149" t="str">
        <f t="shared" si="1"/>
        <v>Pomoći EU</v>
      </c>
      <c r="C29" s="154">
        <v>4221</v>
      </c>
      <c r="D29" s="149" t="str">
        <f t="shared" si="0"/>
        <v>Uredska oprema i namještaj</v>
      </c>
      <c r="E29" s="201"/>
      <c r="F29" s="149" t="str">
        <f t="shared" si="2"/>
        <v/>
      </c>
      <c r="G29" s="198">
        <v>37500</v>
      </c>
      <c r="H29" s="198">
        <v>0</v>
      </c>
      <c r="I29" s="198">
        <v>0</v>
      </c>
      <c r="J29" s="226" t="s">
        <v>1684</v>
      </c>
      <c r="K29" s="225"/>
      <c r="L29" s="225"/>
      <c r="M29" s="226"/>
      <c r="N29" s="226"/>
      <c r="P29" s="144" t="str">
        <f t="shared" si="3"/>
        <v>422</v>
      </c>
      <c r="Q29" s="144" t="str">
        <f t="shared" si="4"/>
        <v>42</v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>
        <v>51</v>
      </c>
      <c r="B31" s="149" t="str">
        <f t="shared" si="1"/>
        <v>Pomoći EU</v>
      </c>
      <c r="C31" s="154">
        <v>3111</v>
      </c>
      <c r="D31" s="149" t="str">
        <f t="shared" si="0"/>
        <v>Plaće za redovan rad</v>
      </c>
      <c r="E31" s="201"/>
      <c r="F31" s="149" t="str">
        <f t="shared" si="2"/>
        <v/>
      </c>
      <c r="G31" s="198">
        <v>302610</v>
      </c>
      <c r="H31" s="198">
        <v>151305</v>
      </c>
      <c r="I31" s="198">
        <v>0</v>
      </c>
      <c r="J31" s="226" t="s">
        <v>1680</v>
      </c>
      <c r="K31" s="225" t="s">
        <v>1670</v>
      </c>
      <c r="L31" s="225" t="s">
        <v>1671</v>
      </c>
      <c r="M31" s="226" t="s">
        <v>1679</v>
      </c>
      <c r="N31" s="226" t="s">
        <v>1693</v>
      </c>
      <c r="P31" s="144" t="str">
        <f t="shared" si="3"/>
        <v>311</v>
      </c>
      <c r="Q31" s="144" t="str">
        <f t="shared" si="4"/>
        <v>31</v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>
        <v>51</v>
      </c>
      <c r="B32" s="149" t="str">
        <f t="shared" si="1"/>
        <v>Pomoći EU</v>
      </c>
      <c r="C32" s="154">
        <v>3121</v>
      </c>
      <c r="D32" s="149" t="str">
        <f t="shared" si="0"/>
        <v>Ostali rashodi za zaposlene</v>
      </c>
      <c r="E32" s="201"/>
      <c r="F32" s="149" t="str">
        <f t="shared" si="2"/>
        <v/>
      </c>
      <c r="G32" s="198">
        <v>7522</v>
      </c>
      <c r="H32" s="198">
        <v>0</v>
      </c>
      <c r="I32" s="198">
        <v>0</v>
      </c>
      <c r="J32" s="226" t="s">
        <v>1680</v>
      </c>
      <c r="K32" s="225"/>
      <c r="L32" s="225"/>
      <c r="M32" s="226"/>
      <c r="N32" s="226"/>
      <c r="P32" s="144" t="str">
        <f t="shared" si="3"/>
        <v>312</v>
      </c>
      <c r="Q32" s="144" t="str">
        <f t="shared" si="4"/>
        <v>31</v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>
        <v>51</v>
      </c>
      <c r="B33" s="149" t="str">
        <f t="shared" si="1"/>
        <v>Pomoći EU</v>
      </c>
      <c r="C33" s="154">
        <v>3132</v>
      </c>
      <c r="D33" s="149" t="str">
        <f t="shared" si="0"/>
        <v>Doprinosi za obvezno zdravstveno osiguranje</v>
      </c>
      <c r="E33" s="201"/>
      <c r="F33" s="149" t="str">
        <f t="shared" si="2"/>
        <v/>
      </c>
      <c r="G33" s="198">
        <v>49938</v>
      </c>
      <c r="H33" s="198">
        <v>24969</v>
      </c>
      <c r="I33" s="198">
        <v>0</v>
      </c>
      <c r="J33" s="226" t="s">
        <v>1680</v>
      </c>
      <c r="K33" s="225"/>
      <c r="L33" s="225"/>
      <c r="M33" s="226"/>
      <c r="N33" s="226"/>
      <c r="P33" s="144" t="str">
        <f t="shared" si="3"/>
        <v>313</v>
      </c>
      <c r="Q33" s="144" t="str">
        <f t="shared" si="4"/>
        <v>31</v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>
        <v>51</v>
      </c>
      <c r="B34" s="149" t="str">
        <f t="shared" si="1"/>
        <v>Pomoći EU</v>
      </c>
      <c r="C34" s="154">
        <v>3211</v>
      </c>
      <c r="D34" s="149" t="str">
        <f t="shared" si="0"/>
        <v>Službena putovanja</v>
      </c>
      <c r="E34" s="201"/>
      <c r="F34" s="149" t="str">
        <f t="shared" si="2"/>
        <v/>
      </c>
      <c r="G34" s="198">
        <v>86358</v>
      </c>
      <c r="H34" s="198">
        <v>44400</v>
      </c>
      <c r="I34" s="198">
        <v>0</v>
      </c>
      <c r="J34" s="226" t="s">
        <v>1680</v>
      </c>
      <c r="K34" s="225"/>
      <c r="L34" s="225"/>
      <c r="M34" s="226"/>
      <c r="N34" s="226"/>
      <c r="P34" s="144" t="str">
        <f t="shared" si="3"/>
        <v>321</v>
      </c>
      <c r="Q34" s="144" t="str">
        <f t="shared" si="4"/>
        <v>32</v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>
        <v>51</v>
      </c>
      <c r="B35" s="149" t="str">
        <f t="shared" si="1"/>
        <v>Pomoći EU</v>
      </c>
      <c r="C35" s="154">
        <v>3212</v>
      </c>
      <c r="D35" s="149" t="str">
        <f t="shared" si="0"/>
        <v>Naknade za prijevoz, za rad na terenu i odvojeni život</v>
      </c>
      <c r="E35" s="201"/>
      <c r="F35" s="149" t="str">
        <f t="shared" si="2"/>
        <v/>
      </c>
      <c r="G35" s="198">
        <v>15456</v>
      </c>
      <c r="H35" s="198">
        <v>7728</v>
      </c>
      <c r="I35" s="198">
        <v>0</v>
      </c>
      <c r="J35" s="226" t="s">
        <v>1680</v>
      </c>
      <c r="K35" s="225"/>
      <c r="L35" s="225"/>
      <c r="M35" s="226"/>
      <c r="N35" s="226"/>
      <c r="P35" s="144" t="str">
        <f t="shared" si="3"/>
        <v>321</v>
      </c>
      <c r="Q35" s="144" t="str">
        <f t="shared" si="4"/>
        <v>32</v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>
        <v>51</v>
      </c>
      <c r="B36" s="149" t="str">
        <f t="shared" si="1"/>
        <v>Pomoći EU</v>
      </c>
      <c r="C36" s="154">
        <v>3214</v>
      </c>
      <c r="D36" s="149" t="str">
        <f t="shared" si="0"/>
        <v>Ostale naknade troškova zaposlenima</v>
      </c>
      <c r="E36" s="201"/>
      <c r="F36" s="149" t="str">
        <f t="shared" si="2"/>
        <v/>
      </c>
      <c r="G36" s="198">
        <v>14800</v>
      </c>
      <c r="H36" s="198">
        <v>5920</v>
      </c>
      <c r="I36" s="198">
        <v>0</v>
      </c>
      <c r="J36" s="226" t="s">
        <v>1680</v>
      </c>
      <c r="K36" s="225"/>
      <c r="L36" s="225"/>
      <c r="M36" s="226"/>
      <c r="N36" s="226"/>
      <c r="P36" s="144" t="str">
        <f t="shared" si="3"/>
        <v>321</v>
      </c>
      <c r="Q36" s="144" t="str">
        <f t="shared" si="4"/>
        <v>32</v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>
        <v>51</v>
      </c>
      <c r="B37" s="149" t="str">
        <f t="shared" si="1"/>
        <v>Pomoći EU</v>
      </c>
      <c r="C37" s="154">
        <v>3221</v>
      </c>
      <c r="D37" s="149" t="str">
        <f t="shared" si="0"/>
        <v>Uredski materijal i ostali materijalni rashodi</v>
      </c>
      <c r="E37" s="201"/>
      <c r="F37" s="149" t="str">
        <f t="shared" si="2"/>
        <v/>
      </c>
      <c r="G37" s="198">
        <v>6000</v>
      </c>
      <c r="H37" s="198">
        <v>6000</v>
      </c>
      <c r="I37" s="198">
        <v>0</v>
      </c>
      <c r="J37" s="226" t="s">
        <v>1680</v>
      </c>
      <c r="K37" s="225"/>
      <c r="L37" s="225"/>
      <c r="M37" s="226"/>
      <c r="N37" s="226"/>
      <c r="P37" s="144" t="str">
        <f t="shared" si="3"/>
        <v>322</v>
      </c>
      <c r="Q37" s="144" t="str">
        <f t="shared" si="4"/>
        <v>32</v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>
        <v>51</v>
      </c>
      <c r="B38" s="149" t="str">
        <f t="shared" si="1"/>
        <v>Pomoći EU</v>
      </c>
      <c r="C38" s="154">
        <v>3231</v>
      </c>
      <c r="D38" s="149" t="str">
        <f t="shared" si="0"/>
        <v>Usluge telefona, pošte i prijevoza</v>
      </c>
      <c r="E38" s="201"/>
      <c r="F38" s="149" t="str">
        <f t="shared" si="2"/>
        <v/>
      </c>
      <c r="G38" s="198">
        <v>30340</v>
      </c>
      <c r="H38" s="198">
        <v>8880</v>
      </c>
      <c r="I38" s="198">
        <v>0</v>
      </c>
      <c r="J38" s="226" t="s">
        <v>1680</v>
      </c>
      <c r="K38" s="225"/>
      <c r="L38" s="225"/>
      <c r="M38" s="226"/>
      <c r="N38" s="226"/>
      <c r="P38" s="144" t="str">
        <f t="shared" si="3"/>
        <v>323</v>
      </c>
      <c r="Q38" s="144" t="str">
        <f t="shared" si="4"/>
        <v>32</v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>
        <v>51</v>
      </c>
      <c r="B39" s="149" t="str">
        <f t="shared" si="1"/>
        <v>Pomoći EU</v>
      </c>
      <c r="C39" s="154">
        <v>3237</v>
      </c>
      <c r="D39" s="149" t="str">
        <f t="shared" si="0"/>
        <v>Intelektualne i osobne usluge</v>
      </c>
      <c r="E39" s="201"/>
      <c r="F39" s="149" t="str">
        <f t="shared" si="2"/>
        <v/>
      </c>
      <c r="G39" s="198">
        <v>1423575</v>
      </c>
      <c r="H39" s="198">
        <v>555000</v>
      </c>
      <c r="I39" s="198">
        <v>0</v>
      </c>
      <c r="J39" s="226" t="s">
        <v>1680</v>
      </c>
      <c r="K39" s="225"/>
      <c r="L39" s="225"/>
      <c r="M39" s="226"/>
      <c r="N39" s="226"/>
      <c r="P39" s="144" t="str">
        <f t="shared" si="3"/>
        <v>323</v>
      </c>
      <c r="Q39" s="144" t="str">
        <f t="shared" si="4"/>
        <v>32</v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>
        <v>51</v>
      </c>
      <c r="B40" s="149" t="str">
        <f t="shared" si="1"/>
        <v>Pomoći EU</v>
      </c>
      <c r="C40" s="154">
        <v>3238</v>
      </c>
      <c r="D40" s="149" t="str">
        <f t="shared" si="0"/>
        <v>Računalne usluge</v>
      </c>
      <c r="E40" s="201"/>
      <c r="F40" s="149" t="str">
        <f t="shared" si="2"/>
        <v/>
      </c>
      <c r="G40" s="198">
        <v>92500</v>
      </c>
      <c r="H40" s="198">
        <v>0</v>
      </c>
      <c r="I40" s="198">
        <v>0</v>
      </c>
      <c r="J40" s="226" t="s">
        <v>1680</v>
      </c>
      <c r="K40" s="225"/>
      <c r="L40" s="225"/>
      <c r="M40" s="226"/>
      <c r="N40" s="226"/>
      <c r="P40" s="144" t="str">
        <f t="shared" si="3"/>
        <v>323</v>
      </c>
      <c r="Q40" s="144" t="str">
        <f t="shared" si="4"/>
        <v>32</v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>
        <v>51</v>
      </c>
      <c r="B41" s="149" t="str">
        <f t="shared" si="1"/>
        <v>Pomoći EU</v>
      </c>
      <c r="C41" s="154">
        <v>3239</v>
      </c>
      <c r="D41" s="149" t="str">
        <f t="shared" si="0"/>
        <v>Ostale usluge</v>
      </c>
      <c r="E41" s="201"/>
      <c r="F41" s="149" t="str">
        <f t="shared" si="2"/>
        <v/>
      </c>
      <c r="G41" s="198">
        <v>6000</v>
      </c>
      <c r="H41" s="198">
        <v>6000</v>
      </c>
      <c r="I41" s="198">
        <v>0</v>
      </c>
      <c r="J41" s="226" t="s">
        <v>1680</v>
      </c>
      <c r="K41" s="225"/>
      <c r="L41" s="225"/>
      <c r="M41" s="226"/>
      <c r="N41" s="226"/>
      <c r="P41" s="144" t="str">
        <f t="shared" si="3"/>
        <v>323</v>
      </c>
      <c r="Q41" s="144" t="str">
        <f t="shared" si="4"/>
        <v>32</v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>
        <v>51</v>
      </c>
      <c r="B42" s="149" t="str">
        <f t="shared" si="1"/>
        <v>Pomoći EU</v>
      </c>
      <c r="C42" s="154">
        <v>4224</v>
      </c>
      <c r="D42" s="149" t="str">
        <f t="shared" si="0"/>
        <v>Medicinska i laboratorijska oprema</v>
      </c>
      <c r="E42" s="201"/>
      <c r="F42" s="149" t="str">
        <f t="shared" si="2"/>
        <v/>
      </c>
      <c r="G42" s="198">
        <v>149850</v>
      </c>
      <c r="H42" s="198">
        <v>0</v>
      </c>
      <c r="I42" s="198">
        <v>0</v>
      </c>
      <c r="J42" s="226" t="s">
        <v>1680</v>
      </c>
      <c r="K42" s="225"/>
      <c r="L42" s="225"/>
      <c r="M42" s="226"/>
      <c r="N42" s="226"/>
      <c r="P42" s="144" t="str">
        <f t="shared" si="3"/>
        <v>422</v>
      </c>
      <c r="Q42" s="144" t="str">
        <f t="shared" si="4"/>
        <v>42</v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>
        <v>51</v>
      </c>
      <c r="B43" s="149" t="str">
        <f t="shared" si="1"/>
        <v>Pomoći EU</v>
      </c>
      <c r="C43" s="154">
        <v>4262</v>
      </c>
      <c r="D43" s="149" t="str">
        <f t="shared" si="0"/>
        <v>Ulaganja u računalne programe</v>
      </c>
      <c r="E43" s="201"/>
      <c r="F43" s="149" t="str">
        <f t="shared" si="2"/>
        <v/>
      </c>
      <c r="G43" s="198">
        <v>122100</v>
      </c>
      <c r="H43" s="198">
        <v>0</v>
      </c>
      <c r="I43" s="198">
        <v>0</v>
      </c>
      <c r="J43" s="226" t="s">
        <v>1680</v>
      </c>
      <c r="K43" s="225"/>
      <c r="L43" s="225"/>
      <c r="M43" s="226"/>
      <c r="N43" s="226"/>
      <c r="P43" s="144" t="str">
        <f t="shared" si="3"/>
        <v>426</v>
      </c>
      <c r="Q43" s="144" t="str">
        <f t="shared" si="4"/>
        <v>42</v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>
        <v>51</v>
      </c>
      <c r="B44" s="149" t="str">
        <f t="shared" si="1"/>
        <v>Pomoći EU</v>
      </c>
      <c r="C44" s="154">
        <v>3233</v>
      </c>
      <c r="D44" s="149" t="str">
        <f t="shared" si="0"/>
        <v>Usluge promidžbe i informiranja</v>
      </c>
      <c r="E44" s="201"/>
      <c r="F44" s="149" t="str">
        <f t="shared" si="2"/>
        <v/>
      </c>
      <c r="G44" s="198">
        <v>9620</v>
      </c>
      <c r="H44" s="198">
        <v>0</v>
      </c>
      <c r="I44" s="198">
        <v>0</v>
      </c>
      <c r="J44" s="226" t="s">
        <v>1680</v>
      </c>
      <c r="K44" s="225"/>
      <c r="L44" s="225"/>
      <c r="M44" s="226"/>
      <c r="N44" s="226"/>
      <c r="P44" s="144" t="str">
        <f t="shared" si="3"/>
        <v>323</v>
      </c>
      <c r="Q44" s="144" t="str">
        <f t="shared" si="4"/>
        <v>32</v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>
        <v>51</v>
      </c>
      <c r="B45" s="149" t="str">
        <f t="shared" si="1"/>
        <v>Pomoći EU</v>
      </c>
      <c r="C45" s="154">
        <v>3111</v>
      </c>
      <c r="D45" s="149" t="str">
        <f t="shared" si="0"/>
        <v>Plaće za redovan rad</v>
      </c>
      <c r="E45" s="201"/>
      <c r="F45" s="149" t="str">
        <f t="shared" si="2"/>
        <v/>
      </c>
      <c r="G45" s="198">
        <v>75129</v>
      </c>
      <c r="H45" s="198">
        <v>0</v>
      </c>
      <c r="I45" s="198">
        <v>0</v>
      </c>
      <c r="J45" s="226" t="s">
        <v>1685</v>
      </c>
      <c r="K45" s="225" t="s">
        <v>1670</v>
      </c>
      <c r="L45" s="225" t="s">
        <v>1675</v>
      </c>
      <c r="M45" s="226" t="s">
        <v>1676</v>
      </c>
      <c r="N45" s="226" t="s">
        <v>1694</v>
      </c>
      <c r="P45" s="144" t="str">
        <f t="shared" si="3"/>
        <v>311</v>
      </c>
      <c r="Q45" s="144" t="str">
        <f t="shared" si="4"/>
        <v>31</v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>
        <v>51</v>
      </c>
      <c r="B46" s="149" t="str">
        <f t="shared" si="1"/>
        <v>Pomoći EU</v>
      </c>
      <c r="C46" s="154">
        <v>3132</v>
      </c>
      <c r="D46" s="149" t="str">
        <f t="shared" si="0"/>
        <v>Doprinosi za obvezno zdravstveno osiguranje</v>
      </c>
      <c r="E46" s="201"/>
      <c r="F46" s="149" t="str">
        <f t="shared" si="2"/>
        <v/>
      </c>
      <c r="G46" s="198">
        <v>12397</v>
      </c>
      <c r="H46" s="198">
        <v>0</v>
      </c>
      <c r="I46" s="198">
        <v>0</v>
      </c>
      <c r="J46" s="226" t="s">
        <v>1685</v>
      </c>
      <c r="K46" s="225"/>
      <c r="L46" s="225"/>
      <c r="M46" s="226"/>
      <c r="N46" s="226"/>
      <c r="P46" s="144" t="str">
        <f t="shared" si="3"/>
        <v>313</v>
      </c>
      <c r="Q46" s="144" t="str">
        <f t="shared" si="4"/>
        <v>31</v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>
        <v>51</v>
      </c>
      <c r="B47" s="149" t="str">
        <f t="shared" si="1"/>
        <v>Pomoći EU</v>
      </c>
      <c r="C47" s="154">
        <v>3211</v>
      </c>
      <c r="D47" s="149" t="str">
        <f t="shared" si="0"/>
        <v>Službena putovanja</v>
      </c>
      <c r="E47" s="201"/>
      <c r="F47" s="149" t="str">
        <f t="shared" si="2"/>
        <v/>
      </c>
      <c r="G47" s="198">
        <v>25567</v>
      </c>
      <c r="H47" s="198">
        <v>0</v>
      </c>
      <c r="I47" s="198">
        <v>0</v>
      </c>
      <c r="J47" s="226" t="s">
        <v>1685</v>
      </c>
      <c r="K47" s="225"/>
      <c r="L47" s="225"/>
      <c r="M47" s="226"/>
      <c r="N47" s="226"/>
      <c r="P47" s="144" t="str">
        <f t="shared" si="3"/>
        <v>321</v>
      </c>
      <c r="Q47" s="144" t="str">
        <f t="shared" si="4"/>
        <v>32</v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>
        <v>51</v>
      </c>
      <c r="B48" s="149" t="str">
        <f t="shared" si="1"/>
        <v>Pomoći EU</v>
      </c>
      <c r="C48" s="154">
        <v>3237</v>
      </c>
      <c r="D48" s="149" t="str">
        <f t="shared" si="0"/>
        <v>Intelektualne i osobne usluge</v>
      </c>
      <c r="E48" s="201"/>
      <c r="F48" s="149" t="str">
        <f t="shared" si="2"/>
        <v/>
      </c>
      <c r="G48" s="198">
        <v>475000</v>
      </c>
      <c r="H48" s="198">
        <v>0</v>
      </c>
      <c r="I48" s="198">
        <v>0</v>
      </c>
      <c r="J48" s="226" t="s">
        <v>1685</v>
      </c>
      <c r="K48" s="225"/>
      <c r="L48" s="225"/>
      <c r="M48" s="226"/>
      <c r="N48" s="226"/>
      <c r="P48" s="144" t="str">
        <f t="shared" si="3"/>
        <v>323</v>
      </c>
      <c r="Q48" s="144" t="str">
        <f t="shared" si="4"/>
        <v>32</v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>
        <v>51</v>
      </c>
      <c r="B50" s="149" t="str">
        <f t="shared" si="1"/>
        <v>Pomoći EU</v>
      </c>
      <c r="C50" s="154">
        <v>3111</v>
      </c>
      <c r="D50" s="149" t="str">
        <f t="shared" si="0"/>
        <v>Plaće za redovan rad</v>
      </c>
      <c r="E50" s="201"/>
      <c r="F50" s="149" t="str">
        <f t="shared" si="2"/>
        <v/>
      </c>
      <c r="G50" s="198">
        <v>315915</v>
      </c>
      <c r="H50" s="198">
        <v>319313</v>
      </c>
      <c r="I50" s="198">
        <v>53219</v>
      </c>
      <c r="J50" s="226" t="s">
        <v>1686</v>
      </c>
      <c r="K50" s="225" t="s">
        <v>1677</v>
      </c>
      <c r="L50" s="225" t="s">
        <v>1678</v>
      </c>
      <c r="M50" s="226" t="s">
        <v>1688</v>
      </c>
      <c r="N50" s="253" t="s">
        <v>1669</v>
      </c>
      <c r="P50" s="144" t="str">
        <f t="shared" si="3"/>
        <v>311</v>
      </c>
      <c r="Q50" s="144" t="str">
        <f t="shared" si="4"/>
        <v>31</v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>
        <v>51</v>
      </c>
      <c r="B51" s="149" t="str">
        <f t="shared" si="1"/>
        <v>Pomoći EU</v>
      </c>
      <c r="C51" s="154">
        <v>3113</v>
      </c>
      <c r="D51" s="149" t="str">
        <f t="shared" si="0"/>
        <v>Plaće za prekovremeni rad</v>
      </c>
      <c r="E51" s="201"/>
      <c r="F51" s="149" t="str">
        <f t="shared" si="2"/>
        <v/>
      </c>
      <c r="G51" s="198">
        <v>51502</v>
      </c>
      <c r="H51" s="198">
        <v>51502</v>
      </c>
      <c r="I51" s="198">
        <v>8584</v>
      </c>
      <c r="J51" s="226" t="s">
        <v>1686</v>
      </c>
      <c r="K51" s="225"/>
      <c r="L51" s="225"/>
      <c r="M51" s="226"/>
      <c r="N51" s="226" t="s">
        <v>1687</v>
      </c>
      <c r="P51" s="144" t="str">
        <f t="shared" si="3"/>
        <v>311</v>
      </c>
      <c r="Q51" s="144" t="str">
        <f t="shared" si="4"/>
        <v>31</v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>
        <v>51</v>
      </c>
      <c r="B52" s="149" t="str">
        <f t="shared" si="1"/>
        <v>Pomoći EU</v>
      </c>
      <c r="C52" s="154">
        <v>3132</v>
      </c>
      <c r="D52" s="149" t="str">
        <f t="shared" si="0"/>
        <v>Doprinosi za obvezno zdravstveno osiguranje</v>
      </c>
      <c r="E52" s="201"/>
      <c r="F52" s="149" t="str">
        <f t="shared" si="2"/>
        <v/>
      </c>
      <c r="G52" s="198">
        <v>60624</v>
      </c>
      <c r="H52" s="198">
        <v>61185</v>
      </c>
      <c r="I52" s="198">
        <v>10197</v>
      </c>
      <c r="J52" s="226" t="s">
        <v>1686</v>
      </c>
      <c r="K52" s="225"/>
      <c r="L52" s="225"/>
      <c r="M52" s="226"/>
      <c r="N52" s="226"/>
      <c r="P52" s="144" t="str">
        <f t="shared" si="3"/>
        <v>313</v>
      </c>
      <c r="Q52" s="144" t="str">
        <f t="shared" si="4"/>
        <v>31</v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>
        <v>51</v>
      </c>
      <c r="B53" s="149" t="str">
        <f t="shared" si="1"/>
        <v>Pomoći EU</v>
      </c>
      <c r="C53" s="154">
        <v>3211</v>
      </c>
      <c r="D53" s="149" t="str">
        <f t="shared" si="0"/>
        <v>Službena putovanja</v>
      </c>
      <c r="E53" s="201"/>
      <c r="F53" s="149" t="str">
        <f t="shared" si="2"/>
        <v/>
      </c>
      <c r="G53" s="198">
        <v>50000</v>
      </c>
      <c r="H53" s="198">
        <v>40000</v>
      </c>
      <c r="I53" s="198">
        <v>0</v>
      </c>
      <c r="J53" s="226" t="s">
        <v>1686</v>
      </c>
      <c r="K53" s="225"/>
      <c r="L53" s="225"/>
      <c r="M53" s="226"/>
      <c r="N53" s="226"/>
      <c r="P53" s="144" t="str">
        <f t="shared" si="3"/>
        <v>321</v>
      </c>
      <c r="Q53" s="144" t="str">
        <f t="shared" si="4"/>
        <v>32</v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>
        <v>51</v>
      </c>
      <c r="B54" s="149" t="str">
        <f t="shared" si="1"/>
        <v>Pomoći EU</v>
      </c>
      <c r="C54" s="154">
        <v>3237</v>
      </c>
      <c r="D54" s="149" t="str">
        <f t="shared" si="0"/>
        <v>Intelektualne i osobne usluge</v>
      </c>
      <c r="E54" s="201"/>
      <c r="F54" s="149" t="str">
        <f t="shared" si="2"/>
        <v/>
      </c>
      <c r="G54" s="198">
        <v>1165100</v>
      </c>
      <c r="H54" s="198">
        <v>0</v>
      </c>
      <c r="I54" s="198">
        <v>0</v>
      </c>
      <c r="J54" s="226" t="s">
        <v>1686</v>
      </c>
      <c r="K54" s="225"/>
      <c r="L54" s="225"/>
      <c r="M54" s="226"/>
      <c r="N54" s="226"/>
      <c r="P54" s="144" t="str">
        <f t="shared" si="3"/>
        <v>323</v>
      </c>
      <c r="Q54" s="144" t="str">
        <f t="shared" si="4"/>
        <v>32</v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>
        <v>52</v>
      </c>
      <c r="B56" s="149" t="str">
        <f t="shared" si="1"/>
        <v>Ostale pomoći</v>
      </c>
      <c r="C56" s="154">
        <v>3211</v>
      </c>
      <c r="D56" s="149" t="str">
        <f t="shared" si="0"/>
        <v>Službena putovanja</v>
      </c>
      <c r="E56" s="201" t="s">
        <v>1074</v>
      </c>
      <c r="F56" s="149" t="str">
        <f t="shared" si="2"/>
        <v>ERASMUS+  Partnerske zemlje KA107 Odlazne i dolazne mobilnosti studenata i osoblja Sveučilišta u Splitu</v>
      </c>
      <c r="G56" s="198">
        <v>312720</v>
      </c>
      <c r="H56" s="198">
        <v>368872</v>
      </c>
      <c r="I56" s="198">
        <v>420207</v>
      </c>
      <c r="J56" s="226"/>
      <c r="K56" s="225"/>
      <c r="L56" s="225"/>
      <c r="M56" s="226"/>
      <c r="N56" s="226"/>
      <c r="P56" s="144" t="str">
        <f t="shared" si="3"/>
        <v>321</v>
      </c>
      <c r="Q56" s="144" t="str">
        <f t="shared" si="4"/>
        <v>32</v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>
        <v>51</v>
      </c>
      <c r="B57" s="149" t="str">
        <f t="shared" si="1"/>
        <v>Pomoći EU</v>
      </c>
      <c r="C57" s="154">
        <v>3211</v>
      </c>
      <c r="D57" s="149" t="str">
        <f t="shared" si="0"/>
        <v>Službena putovanja</v>
      </c>
      <c r="E57" s="201" t="s">
        <v>1063</v>
      </c>
      <c r="F57" s="149" t="str">
        <f t="shared" si="2"/>
        <v>ERASMUS+ MEMUD MA studij u području urbanog dizajna za područje centralne i jugoistočne Europe</v>
      </c>
      <c r="G57" s="198">
        <v>5540</v>
      </c>
      <c r="H57" s="198">
        <v>0</v>
      </c>
      <c r="I57" s="198">
        <v>0</v>
      </c>
      <c r="J57" s="226"/>
      <c r="K57" s="225"/>
      <c r="L57" s="225"/>
      <c r="M57" s="226"/>
      <c r="N57" s="226"/>
      <c r="P57" s="144" t="str">
        <f t="shared" si="3"/>
        <v>321</v>
      </c>
      <c r="Q57" s="144" t="str">
        <f t="shared" si="4"/>
        <v>32</v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>
        <v>52</v>
      </c>
      <c r="B58" s="149" t="str">
        <f t="shared" si="1"/>
        <v>Ostale pomoći</v>
      </c>
      <c r="C58" s="154">
        <v>3211</v>
      </c>
      <c r="D58" s="149" t="str">
        <f t="shared" si="0"/>
        <v>Službena putovanja</v>
      </c>
      <c r="E58" s="201" t="s">
        <v>1051</v>
      </c>
      <c r="F58" s="149" t="str">
        <f t="shared" si="2"/>
        <v>ERASMUS+ BESTSDI Izrada kurikula na temu infrastrukture prostornih podataka u zemljama Zapadnog Balkana</v>
      </c>
      <c r="G58" s="198">
        <v>80700</v>
      </c>
      <c r="H58" s="198">
        <v>40000</v>
      </c>
      <c r="I58" s="198">
        <v>40000</v>
      </c>
      <c r="J58" s="226"/>
      <c r="K58" s="225"/>
      <c r="L58" s="225"/>
      <c r="M58" s="226"/>
      <c r="N58" s="226"/>
      <c r="P58" s="144" t="str">
        <f t="shared" si="3"/>
        <v>321</v>
      </c>
      <c r="Q58" s="144" t="str">
        <f t="shared" si="4"/>
        <v>32</v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>
        <v>563</v>
      </c>
      <c r="B61" s="149" t="str">
        <f t="shared" si="1"/>
        <v>Europski fond za regionalni razvoj (ERDF)</v>
      </c>
      <c r="C61" s="154">
        <v>3111</v>
      </c>
      <c r="D61" s="149" t="str">
        <f t="shared" si="0"/>
        <v>Plaće za redovan rad</v>
      </c>
      <c r="E61" s="201" t="s">
        <v>1196</v>
      </c>
      <c r="F61" s="149" t="str">
        <f t="shared" si="2"/>
        <v>Ulaganje u organizacijsku reformu i infrastrukturu sektora istraživanja, razvoja i inovacija</v>
      </c>
      <c r="G61" s="198">
        <v>97474</v>
      </c>
      <c r="H61" s="198">
        <v>16246</v>
      </c>
      <c r="I61" s="198">
        <v>0</v>
      </c>
      <c r="J61" s="226" t="s">
        <v>1695</v>
      </c>
      <c r="K61" s="225"/>
      <c r="L61" s="225"/>
      <c r="M61" s="226"/>
      <c r="N61" s="226"/>
      <c r="P61" s="144" t="str">
        <f t="shared" si="3"/>
        <v>311</v>
      </c>
      <c r="Q61" s="144" t="str">
        <f t="shared" si="4"/>
        <v>31</v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>
        <v>563</v>
      </c>
      <c r="B62" s="149" t="str">
        <f t="shared" si="1"/>
        <v>Europski fond za regionalni razvoj (ERDF)</v>
      </c>
      <c r="C62" s="154">
        <v>3132</v>
      </c>
      <c r="D62" s="149" t="str">
        <f t="shared" si="0"/>
        <v>Doprinosi za obvezno zdravstveno osiguranje</v>
      </c>
      <c r="E62" s="201" t="s">
        <v>1196</v>
      </c>
      <c r="F62" s="149" t="str">
        <f t="shared" si="2"/>
        <v>Ulaganje u organizacijsku reformu i infrastrukturu sektora istraživanja, razvoja i inovacija</v>
      </c>
      <c r="G62" s="198">
        <v>16766</v>
      </c>
      <c r="H62" s="198">
        <v>2794</v>
      </c>
      <c r="I62" s="198">
        <v>0</v>
      </c>
      <c r="J62" s="226" t="s">
        <v>1695</v>
      </c>
      <c r="K62" s="225"/>
      <c r="L62" s="225"/>
      <c r="M62" s="226"/>
      <c r="N62" s="226"/>
      <c r="P62" s="144" t="str">
        <f t="shared" si="3"/>
        <v>313</v>
      </c>
      <c r="Q62" s="144" t="str">
        <f t="shared" si="4"/>
        <v>31</v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>
        <v>563</v>
      </c>
      <c r="B63" s="149" t="str">
        <f t="shared" si="1"/>
        <v>Europski fond za regionalni razvoj (ERDF)</v>
      </c>
      <c r="C63" s="154">
        <v>3212</v>
      </c>
      <c r="D63" s="149" t="str">
        <f t="shared" si="0"/>
        <v>Naknade za prijevoz, za rad na terenu i odvojeni život</v>
      </c>
      <c r="E63" s="201" t="s">
        <v>1196</v>
      </c>
      <c r="F63" s="149" t="str">
        <f t="shared" si="2"/>
        <v>Ulaganje u organizacijsku reformu i infrastrukturu sektora istraživanja, razvoja i inovacija</v>
      </c>
      <c r="G63" s="198">
        <v>2958</v>
      </c>
      <c r="H63" s="198">
        <v>493</v>
      </c>
      <c r="I63" s="198">
        <v>0</v>
      </c>
      <c r="J63" s="226" t="s">
        <v>1695</v>
      </c>
      <c r="K63" s="225"/>
      <c r="L63" s="225"/>
      <c r="M63" s="226"/>
      <c r="N63" s="226"/>
      <c r="P63" s="144" t="str">
        <f t="shared" si="3"/>
        <v>321</v>
      </c>
      <c r="Q63" s="144" t="str">
        <f t="shared" si="4"/>
        <v>32</v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>
        <v>563</v>
      </c>
      <c r="B64" s="149" t="str">
        <f t="shared" si="1"/>
        <v>Europski fond za regionalni razvoj (ERDF)</v>
      </c>
      <c r="C64" s="154">
        <v>3221</v>
      </c>
      <c r="D64" s="149" t="str">
        <f t="shared" si="0"/>
        <v>Uredski materijal i ostali materijalni rashodi</v>
      </c>
      <c r="E64" s="201" t="s">
        <v>1196</v>
      </c>
      <c r="F64" s="149" t="str">
        <f t="shared" si="2"/>
        <v>Ulaganje u organizacijsku reformu i infrastrukturu sektora istraživanja, razvoja i inovacija</v>
      </c>
      <c r="G64" s="198">
        <v>18318</v>
      </c>
      <c r="H64" s="198">
        <v>3053</v>
      </c>
      <c r="I64" s="198">
        <v>0</v>
      </c>
      <c r="J64" s="226" t="s">
        <v>1695</v>
      </c>
      <c r="K64" s="225"/>
      <c r="L64" s="225"/>
      <c r="M64" s="226"/>
      <c r="N64" s="226"/>
      <c r="P64" s="144" t="str">
        <f t="shared" si="3"/>
        <v>322</v>
      </c>
      <c r="Q64" s="144" t="str">
        <f t="shared" si="4"/>
        <v>32</v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>
        <v>563</v>
      </c>
      <c r="B65" s="149" t="str">
        <f t="shared" si="1"/>
        <v>Europski fond za regionalni razvoj (ERDF)</v>
      </c>
      <c r="C65" s="154">
        <v>3233</v>
      </c>
      <c r="D65" s="149" t="str">
        <f t="shared" si="0"/>
        <v>Usluge promidžbe i informiranja</v>
      </c>
      <c r="E65" s="201" t="s">
        <v>1196</v>
      </c>
      <c r="F65" s="149" t="str">
        <f t="shared" si="2"/>
        <v>Ulaganje u organizacijsku reformu i infrastrukturu sektora istraživanja, razvoja i inovacija</v>
      </c>
      <c r="G65" s="198">
        <v>29481</v>
      </c>
      <c r="H65" s="198">
        <v>0</v>
      </c>
      <c r="I65" s="198">
        <v>0</v>
      </c>
      <c r="J65" s="226" t="s">
        <v>1695</v>
      </c>
      <c r="K65" s="225"/>
      <c r="L65" s="225"/>
      <c r="M65" s="226"/>
      <c r="N65" s="226"/>
      <c r="P65" s="144" t="str">
        <f t="shared" si="3"/>
        <v>323</v>
      </c>
      <c r="Q65" s="144" t="str">
        <f t="shared" si="4"/>
        <v>32</v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>
        <v>563</v>
      </c>
      <c r="B66" s="149" t="str">
        <f t="shared" si="1"/>
        <v>Europski fond za regionalni razvoj (ERDF)</v>
      </c>
      <c r="C66" s="154">
        <v>3237</v>
      </c>
      <c r="D66" s="149" t="str">
        <f t="shared" si="0"/>
        <v>Intelektualne i osobne usluge</v>
      </c>
      <c r="E66" s="201" t="s">
        <v>1196</v>
      </c>
      <c r="F66" s="149" t="str">
        <f t="shared" si="2"/>
        <v>Ulaganje u organizacijsku reformu i infrastrukturu sektora istraživanja, razvoja i inovacija</v>
      </c>
      <c r="G66" s="198">
        <v>493000</v>
      </c>
      <c r="H66" s="198">
        <v>85000</v>
      </c>
      <c r="I66" s="198">
        <v>0</v>
      </c>
      <c r="J66" s="226" t="s">
        <v>1695</v>
      </c>
      <c r="K66" s="225"/>
      <c r="L66" s="225"/>
      <c r="M66" s="226"/>
      <c r="N66" s="226"/>
      <c r="P66" s="144" t="str">
        <f t="shared" si="3"/>
        <v>323</v>
      </c>
      <c r="Q66" s="144" t="str">
        <f t="shared" si="4"/>
        <v>32</v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>
        <v>563</v>
      </c>
      <c r="B67" s="149" t="str">
        <f t="shared" si="1"/>
        <v>Europski fond za regionalni razvoj (ERDF)</v>
      </c>
      <c r="C67" s="154">
        <v>3293</v>
      </c>
      <c r="D67" s="149" t="str">
        <f t="shared" ref="D67:D130" si="7">IFERROR(VLOOKUP(C67,$U$5:$W$129,2,FALSE),"")</f>
        <v>Reprezentacija</v>
      </c>
      <c r="E67" s="201" t="s">
        <v>1196</v>
      </c>
      <c r="F67" s="149" t="str">
        <f t="shared" si="2"/>
        <v>Ulaganje u organizacijsku reformu i infrastrukturu sektora istraživanja, razvoja i inovacija</v>
      </c>
      <c r="G67" s="198">
        <v>12750</v>
      </c>
      <c r="H67" s="198">
        <v>0</v>
      </c>
      <c r="I67" s="198">
        <v>0</v>
      </c>
      <c r="J67" s="226" t="s">
        <v>1695</v>
      </c>
      <c r="K67" s="225"/>
      <c r="L67" s="225"/>
      <c r="M67" s="226"/>
      <c r="N67" s="226"/>
      <c r="P67" s="144" t="str">
        <f t="shared" si="3"/>
        <v>329</v>
      </c>
      <c r="Q67" s="144" t="str">
        <f t="shared" si="4"/>
        <v>32</v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>
        <v>563</v>
      </c>
      <c r="B68" s="149" t="str">
        <f t="shared" ref="B68:B131" si="8">IFERROR(VLOOKUP(A68,$R$6:$S$16,2,FALSE),"")</f>
        <v>Europski fond za regionalni razvoj (ERDF)</v>
      </c>
      <c r="C68" s="154">
        <v>4212</v>
      </c>
      <c r="D68" s="149" t="str">
        <f t="shared" si="7"/>
        <v>Poslovni objekti</v>
      </c>
      <c r="E68" s="201" t="s">
        <v>1196</v>
      </c>
      <c r="F68" s="149" t="str">
        <f t="shared" ref="F68:F131" si="9">IFERROR(VLOOKUP(E68,$AA$6:$AB$200,2,FALSE),"")</f>
        <v>Ulaganje u organizacijsku reformu i infrastrukturu sektora istraživanja, razvoja i inovacija</v>
      </c>
      <c r="G68" s="198">
        <v>16847490</v>
      </c>
      <c r="H68" s="198">
        <v>0</v>
      </c>
      <c r="I68" s="198">
        <v>0</v>
      </c>
      <c r="J68" s="226" t="s">
        <v>1695</v>
      </c>
      <c r="K68" s="225"/>
      <c r="L68" s="225"/>
      <c r="M68" s="226"/>
      <c r="N68" s="226"/>
      <c r="P68" s="144" t="str">
        <f t="shared" ref="P68:P131" si="10">LEFT(C68,3)</f>
        <v>421</v>
      </c>
      <c r="Q68" s="144" t="str">
        <f t="shared" ref="Q68:Q131" si="11">LEFT(C68,2)</f>
        <v>42</v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>
        <v>563</v>
      </c>
      <c r="B69" s="149" t="str">
        <f t="shared" si="8"/>
        <v>Europski fond za regionalni razvoj (ERDF)</v>
      </c>
      <c r="C69" s="154">
        <v>4221</v>
      </c>
      <c r="D69" s="149" t="str">
        <f t="shared" si="7"/>
        <v>Uredska oprema i namještaj</v>
      </c>
      <c r="E69" s="201" t="s">
        <v>1196</v>
      </c>
      <c r="F69" s="149" t="str">
        <f t="shared" si="9"/>
        <v>Ulaganje u organizacijsku reformu i infrastrukturu sektora istraživanja, razvoja i inovacija</v>
      </c>
      <c r="G69" s="198">
        <v>2089787</v>
      </c>
      <c r="H69" s="198">
        <v>0</v>
      </c>
      <c r="I69" s="198">
        <v>0</v>
      </c>
      <c r="J69" s="226" t="s">
        <v>1695</v>
      </c>
      <c r="K69" s="225"/>
      <c r="L69" s="225"/>
      <c r="M69" s="226"/>
      <c r="N69" s="226"/>
      <c r="P69" s="144" t="str">
        <f t="shared" si="10"/>
        <v>422</v>
      </c>
      <c r="Q69" s="144" t="str">
        <f t="shared" si="11"/>
        <v>42</v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>
        <v>563</v>
      </c>
      <c r="B70" s="149" t="str">
        <f t="shared" si="8"/>
        <v>Europski fond za regionalni razvoj (ERDF)</v>
      </c>
      <c r="C70" s="154">
        <v>4224</v>
      </c>
      <c r="D70" s="149" t="str">
        <f t="shared" si="7"/>
        <v>Medicinska i laboratorijska oprema</v>
      </c>
      <c r="E70" s="201" t="s">
        <v>1196</v>
      </c>
      <c r="F70" s="149" t="str">
        <f t="shared" si="9"/>
        <v>Ulaganje u organizacijsku reformu i infrastrukturu sektora istraživanja, razvoja i inovacija</v>
      </c>
      <c r="G70" s="198">
        <v>33999997</v>
      </c>
      <c r="H70" s="198">
        <v>0</v>
      </c>
      <c r="I70" s="198">
        <v>0</v>
      </c>
      <c r="J70" s="226" t="s">
        <v>1695</v>
      </c>
      <c r="K70" s="225"/>
      <c r="L70" s="225"/>
      <c r="M70" s="226"/>
      <c r="N70" s="226"/>
      <c r="P70" s="144" t="str">
        <f t="shared" si="10"/>
        <v>422</v>
      </c>
      <c r="Q70" s="144" t="str">
        <f t="shared" si="11"/>
        <v>42</v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>
        <v>563</v>
      </c>
      <c r="B71" s="149" t="str">
        <f t="shared" si="8"/>
        <v>Europski fond za regionalni razvoj (ERDF)</v>
      </c>
      <c r="C71" s="154">
        <v>4262</v>
      </c>
      <c r="D71" s="149" t="str">
        <f t="shared" si="7"/>
        <v>Ulaganja u računalne programe</v>
      </c>
      <c r="E71" s="201" t="s">
        <v>1196</v>
      </c>
      <c r="F71" s="149" t="str">
        <f t="shared" si="9"/>
        <v>Ulaganje u organizacijsku reformu i infrastrukturu sektora istraživanja, razvoja i inovacija</v>
      </c>
      <c r="G71" s="198">
        <v>833000</v>
      </c>
      <c r="H71" s="198">
        <v>0</v>
      </c>
      <c r="I71" s="198">
        <v>0</v>
      </c>
      <c r="J71" s="226" t="s">
        <v>1695</v>
      </c>
      <c r="K71" s="225"/>
      <c r="L71" s="225"/>
      <c r="M71" s="226"/>
      <c r="N71" s="226"/>
      <c r="P71" s="144" t="str">
        <f t="shared" si="10"/>
        <v>426</v>
      </c>
      <c r="Q71" s="144" t="str">
        <f t="shared" si="11"/>
        <v>42</v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>
        <v>12</v>
      </c>
      <c r="B73" s="149" t="str">
        <f t="shared" si="8"/>
        <v>Sredstva učešća za pomoći</v>
      </c>
      <c r="C73" s="154">
        <v>3111</v>
      </c>
      <c r="D73" s="149" t="str">
        <f t="shared" si="7"/>
        <v>Plaće za redovan rad</v>
      </c>
      <c r="E73" s="201" t="s">
        <v>1196</v>
      </c>
      <c r="F73" s="149" t="str">
        <f t="shared" si="9"/>
        <v>Ulaganje u organizacijsku reformu i infrastrukturu sektora istraživanja, razvoja i inovacija</v>
      </c>
      <c r="G73" s="198">
        <v>17201</v>
      </c>
      <c r="H73" s="198">
        <v>2867</v>
      </c>
      <c r="I73" s="198">
        <v>0</v>
      </c>
      <c r="J73" s="226" t="s">
        <v>1695</v>
      </c>
      <c r="K73" s="225"/>
      <c r="L73" s="225"/>
      <c r="M73" s="226"/>
      <c r="N73" s="226"/>
      <c r="P73" s="144" t="str">
        <f t="shared" si="10"/>
        <v>311</v>
      </c>
      <c r="Q73" s="144" t="str">
        <f t="shared" si="11"/>
        <v>31</v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>
        <v>12</v>
      </c>
      <c r="B74" s="149" t="str">
        <f t="shared" si="8"/>
        <v>Sredstva učešća za pomoći</v>
      </c>
      <c r="C74" s="154">
        <v>3132</v>
      </c>
      <c r="D74" s="149" t="str">
        <f t="shared" si="7"/>
        <v>Doprinosi za obvezno zdravstveno osiguranje</v>
      </c>
      <c r="E74" s="201" t="s">
        <v>1196</v>
      </c>
      <c r="F74" s="149" t="str">
        <f t="shared" si="9"/>
        <v>Ulaganje u organizacijsku reformu i infrastrukturu sektora istraživanja, razvoja i inovacija</v>
      </c>
      <c r="G74" s="198">
        <v>2959</v>
      </c>
      <c r="H74" s="198">
        <v>493</v>
      </c>
      <c r="I74" s="198">
        <v>0</v>
      </c>
      <c r="J74" s="226" t="s">
        <v>1695</v>
      </c>
      <c r="K74" s="225"/>
      <c r="L74" s="225"/>
      <c r="M74" s="226"/>
      <c r="N74" s="226"/>
      <c r="P74" s="144" t="str">
        <f t="shared" si="10"/>
        <v>313</v>
      </c>
      <c r="Q74" s="144" t="str">
        <f t="shared" si="11"/>
        <v>31</v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>
        <v>12</v>
      </c>
      <c r="B75" s="149" t="str">
        <f t="shared" si="8"/>
        <v>Sredstva učešća za pomoći</v>
      </c>
      <c r="C75" s="154">
        <v>3212</v>
      </c>
      <c r="D75" s="149" t="str">
        <f t="shared" si="7"/>
        <v>Naknade za prijevoz, za rad na terenu i odvojeni život</v>
      </c>
      <c r="E75" s="201" t="s">
        <v>1196</v>
      </c>
      <c r="F75" s="149" t="str">
        <f t="shared" si="9"/>
        <v>Ulaganje u organizacijsku reformu i infrastrukturu sektora istraživanja, razvoja i inovacija</v>
      </c>
      <c r="G75" s="198">
        <v>522</v>
      </c>
      <c r="H75" s="198">
        <v>87</v>
      </c>
      <c r="I75" s="198">
        <v>0</v>
      </c>
      <c r="J75" s="226" t="s">
        <v>1695</v>
      </c>
      <c r="K75" s="225"/>
      <c r="L75" s="225"/>
      <c r="M75" s="226"/>
      <c r="N75" s="226"/>
      <c r="P75" s="144" t="str">
        <f t="shared" si="10"/>
        <v>321</v>
      </c>
      <c r="Q75" s="144" t="str">
        <f t="shared" si="11"/>
        <v>32</v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>
        <v>12</v>
      </c>
      <c r="B76" s="149" t="str">
        <f t="shared" si="8"/>
        <v>Sredstva učešća za pomoći</v>
      </c>
      <c r="C76" s="154">
        <v>3221</v>
      </c>
      <c r="D76" s="149" t="str">
        <f t="shared" si="7"/>
        <v>Uredski materijal i ostali materijalni rashodi</v>
      </c>
      <c r="E76" s="201" t="s">
        <v>1196</v>
      </c>
      <c r="F76" s="149" t="str">
        <f t="shared" si="9"/>
        <v>Ulaganje u organizacijsku reformu i infrastrukturu sektora istraživanja, razvoja i inovacija</v>
      </c>
      <c r="G76" s="198">
        <v>3233</v>
      </c>
      <c r="H76" s="198">
        <v>539</v>
      </c>
      <c r="I76" s="198">
        <v>0</v>
      </c>
      <c r="J76" s="226" t="s">
        <v>1695</v>
      </c>
      <c r="K76" s="225"/>
      <c r="L76" s="225"/>
      <c r="M76" s="226"/>
      <c r="N76" s="226"/>
      <c r="P76" s="144" t="str">
        <f t="shared" si="10"/>
        <v>322</v>
      </c>
      <c r="Q76" s="144" t="str">
        <f t="shared" si="11"/>
        <v>32</v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>
        <v>12</v>
      </c>
      <c r="B77" s="149" t="str">
        <f t="shared" si="8"/>
        <v>Sredstva učešća za pomoći</v>
      </c>
      <c r="C77" s="154">
        <v>3233</v>
      </c>
      <c r="D77" s="149" t="str">
        <f t="shared" si="7"/>
        <v>Usluge promidžbe i informiranja</v>
      </c>
      <c r="E77" s="201" t="s">
        <v>1196</v>
      </c>
      <c r="F77" s="149" t="str">
        <f t="shared" si="9"/>
        <v>Ulaganje u organizacijsku reformu i infrastrukturu sektora istraživanja, razvoja i inovacija</v>
      </c>
      <c r="G77" s="198">
        <v>5203</v>
      </c>
      <c r="H77" s="198">
        <v>0</v>
      </c>
      <c r="I77" s="198">
        <v>0</v>
      </c>
      <c r="J77" s="226" t="s">
        <v>1695</v>
      </c>
      <c r="K77" s="225"/>
      <c r="L77" s="225"/>
      <c r="M77" s="226"/>
      <c r="N77" s="226"/>
      <c r="P77" s="144" t="str">
        <f t="shared" si="10"/>
        <v>323</v>
      </c>
      <c r="Q77" s="144" t="str">
        <f t="shared" si="11"/>
        <v>32</v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>
        <v>12</v>
      </c>
      <c r="B78" s="149" t="str">
        <f t="shared" si="8"/>
        <v>Sredstva učešća za pomoći</v>
      </c>
      <c r="C78" s="154">
        <v>3237</v>
      </c>
      <c r="D78" s="149" t="str">
        <f t="shared" si="7"/>
        <v>Intelektualne i osobne usluge</v>
      </c>
      <c r="E78" s="201" t="s">
        <v>1196</v>
      </c>
      <c r="F78" s="149" t="str">
        <f t="shared" si="9"/>
        <v>Ulaganje u organizacijsku reformu i infrastrukturu sektora istraživanja, razvoja i inovacija</v>
      </c>
      <c r="G78" s="198">
        <v>87000</v>
      </c>
      <c r="H78" s="198">
        <v>15000</v>
      </c>
      <c r="I78" s="198">
        <v>0</v>
      </c>
      <c r="J78" s="226" t="s">
        <v>1695</v>
      </c>
      <c r="K78" s="225"/>
      <c r="L78" s="225"/>
      <c r="M78" s="226"/>
      <c r="N78" s="226"/>
      <c r="P78" s="144" t="str">
        <f t="shared" si="10"/>
        <v>323</v>
      </c>
      <c r="Q78" s="144" t="str">
        <f t="shared" si="11"/>
        <v>32</v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>
        <v>12</v>
      </c>
      <c r="B79" s="149" t="str">
        <f t="shared" si="8"/>
        <v>Sredstva učešća za pomoći</v>
      </c>
      <c r="C79" s="154">
        <v>3293</v>
      </c>
      <c r="D79" s="149" t="str">
        <f t="shared" si="7"/>
        <v>Reprezentacija</v>
      </c>
      <c r="E79" s="201" t="s">
        <v>1196</v>
      </c>
      <c r="F79" s="149" t="str">
        <f t="shared" si="9"/>
        <v>Ulaganje u organizacijsku reformu i infrastrukturu sektora istraživanja, razvoja i inovacija</v>
      </c>
      <c r="G79" s="198">
        <v>2250</v>
      </c>
      <c r="H79" s="198">
        <v>0</v>
      </c>
      <c r="I79" s="198">
        <v>0</v>
      </c>
      <c r="J79" s="226" t="s">
        <v>1695</v>
      </c>
      <c r="K79" s="225"/>
      <c r="L79" s="225"/>
      <c r="M79" s="226"/>
      <c r="N79" s="226"/>
      <c r="P79" s="144" t="str">
        <f t="shared" si="10"/>
        <v>329</v>
      </c>
      <c r="Q79" s="144" t="str">
        <f t="shared" si="11"/>
        <v>32</v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>
        <v>12</v>
      </c>
      <c r="B80" s="149" t="str">
        <f t="shared" si="8"/>
        <v>Sredstva učešća za pomoći</v>
      </c>
      <c r="C80" s="154">
        <v>4212</v>
      </c>
      <c r="D80" s="149" t="str">
        <f t="shared" si="7"/>
        <v>Poslovni objekti</v>
      </c>
      <c r="E80" s="201" t="s">
        <v>1196</v>
      </c>
      <c r="F80" s="149" t="str">
        <f t="shared" si="9"/>
        <v>Ulaganje u organizacijsku reformu i infrastrukturu sektora istraživanja, razvoja i inovacija</v>
      </c>
      <c r="G80" s="198">
        <v>2973086</v>
      </c>
      <c r="H80" s="198">
        <v>0</v>
      </c>
      <c r="I80" s="198">
        <v>0</v>
      </c>
      <c r="J80" s="226" t="s">
        <v>1695</v>
      </c>
      <c r="K80" s="225"/>
      <c r="L80" s="225"/>
      <c r="M80" s="226"/>
      <c r="N80" s="226"/>
      <c r="P80" s="144" t="str">
        <f t="shared" si="10"/>
        <v>421</v>
      </c>
      <c r="Q80" s="144" t="str">
        <f t="shared" si="11"/>
        <v>42</v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>
        <v>12</v>
      </c>
      <c r="B81" s="149" t="str">
        <f t="shared" si="8"/>
        <v>Sredstva učešća za pomoći</v>
      </c>
      <c r="C81" s="154">
        <v>4221</v>
      </c>
      <c r="D81" s="149" t="str">
        <f t="shared" si="7"/>
        <v>Uredska oprema i namještaj</v>
      </c>
      <c r="E81" s="201" t="s">
        <v>1196</v>
      </c>
      <c r="F81" s="149" t="str">
        <f t="shared" si="9"/>
        <v>Ulaganje u organizacijsku reformu i infrastrukturu sektora istraživanja, razvoja i inovacija</v>
      </c>
      <c r="G81" s="198">
        <v>368786</v>
      </c>
      <c r="H81" s="198">
        <v>0</v>
      </c>
      <c r="I81" s="198">
        <v>0</v>
      </c>
      <c r="J81" s="226" t="s">
        <v>1695</v>
      </c>
      <c r="K81" s="225"/>
      <c r="L81" s="225"/>
      <c r="M81" s="226"/>
      <c r="N81" s="226"/>
      <c r="P81" s="144" t="str">
        <f t="shared" si="10"/>
        <v>422</v>
      </c>
      <c r="Q81" s="144" t="str">
        <f t="shared" si="11"/>
        <v>42</v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>
        <v>12</v>
      </c>
      <c r="B82" s="149" t="str">
        <f t="shared" si="8"/>
        <v>Sredstva učešća za pomoći</v>
      </c>
      <c r="C82" s="154">
        <v>4224</v>
      </c>
      <c r="D82" s="149" t="str">
        <f t="shared" si="7"/>
        <v>Medicinska i laboratorijska oprema</v>
      </c>
      <c r="E82" s="201" t="s">
        <v>1196</v>
      </c>
      <c r="F82" s="149" t="str">
        <f t="shared" si="9"/>
        <v>Ulaganje u organizacijsku reformu i infrastrukturu sektora istraživanja, razvoja i inovacija</v>
      </c>
      <c r="G82" s="198">
        <v>5999999</v>
      </c>
      <c r="H82" s="198">
        <v>0</v>
      </c>
      <c r="I82" s="198">
        <v>0</v>
      </c>
      <c r="J82" s="226" t="s">
        <v>1695</v>
      </c>
      <c r="K82" s="225"/>
      <c r="L82" s="225"/>
      <c r="M82" s="226"/>
      <c r="N82" s="226"/>
      <c r="P82" s="144" t="str">
        <f t="shared" si="10"/>
        <v>422</v>
      </c>
      <c r="Q82" s="144" t="str">
        <f t="shared" si="11"/>
        <v>42</v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>
        <v>12</v>
      </c>
      <c r="B83" s="149" t="str">
        <f t="shared" si="8"/>
        <v>Sredstva učešća za pomoći</v>
      </c>
      <c r="C83" s="154">
        <v>4262</v>
      </c>
      <c r="D83" s="149" t="str">
        <f t="shared" si="7"/>
        <v>Ulaganja u računalne programe</v>
      </c>
      <c r="E83" s="201" t="s">
        <v>1196</v>
      </c>
      <c r="F83" s="149" t="str">
        <f t="shared" si="9"/>
        <v>Ulaganje u organizacijsku reformu i infrastrukturu sektora istraživanja, razvoja i inovacija</v>
      </c>
      <c r="G83" s="198">
        <v>147000</v>
      </c>
      <c r="H83" s="198">
        <v>0</v>
      </c>
      <c r="I83" s="198">
        <v>0</v>
      </c>
      <c r="J83" s="226" t="s">
        <v>1695</v>
      </c>
      <c r="K83" s="225"/>
      <c r="L83" s="225"/>
      <c r="M83" s="226"/>
      <c r="N83" s="226"/>
      <c r="P83" s="144" t="str">
        <f t="shared" si="10"/>
        <v>426</v>
      </c>
      <c r="Q83" s="144" t="str">
        <f t="shared" si="11"/>
        <v>42</v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4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8"/>
  <sheetViews>
    <sheetView tabSelected="1" topLeftCell="A46" workbookViewId="0">
      <selection activeCell="B62" sqref="B62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3" hidden="1">
      <c r="A17" s="236" t="s">
        <v>1340</v>
      </c>
      <c r="B17" s="237" t="s">
        <v>1341</v>
      </c>
    </row>
    <row r="18" spans="1:3" hidden="1">
      <c r="A18" s="236" t="s">
        <v>1342</v>
      </c>
      <c r="B18" s="237" t="s">
        <v>1343</v>
      </c>
    </row>
    <row r="19" spans="1:3" hidden="1">
      <c r="A19" s="236" t="s">
        <v>1344</v>
      </c>
      <c r="B19" s="237" t="s">
        <v>1345</v>
      </c>
    </row>
    <row r="20" spans="1:3" hidden="1">
      <c r="A20" s="236" t="s">
        <v>1346</v>
      </c>
      <c r="B20" s="237" t="s">
        <v>1347</v>
      </c>
    </row>
    <row r="21" spans="1:3" hidden="1">
      <c r="A21" s="236" t="s">
        <v>1348</v>
      </c>
      <c r="B21" s="237" t="s">
        <v>1349</v>
      </c>
    </row>
    <row r="22" spans="1:3" hidden="1">
      <c r="A22" s="236" t="s">
        <v>1350</v>
      </c>
      <c r="B22" s="237" t="s">
        <v>896</v>
      </c>
    </row>
    <row r="23" spans="1:3" hidden="1">
      <c r="A23" s="234" t="s">
        <v>1351</v>
      </c>
      <c r="B23" s="235" t="s">
        <v>1352</v>
      </c>
    </row>
    <row r="24" spans="1:3" hidden="1">
      <c r="A24" s="236" t="s">
        <v>1353</v>
      </c>
      <c r="B24" s="237" t="s">
        <v>1354</v>
      </c>
    </row>
    <row r="25" spans="1:3">
      <c r="A25" s="230" t="s">
        <v>63</v>
      </c>
      <c r="B25" s="231" t="s">
        <v>64</v>
      </c>
    </row>
    <row r="26" spans="1:3">
      <c r="A26" s="234" t="s">
        <v>61</v>
      </c>
      <c r="B26" s="235" t="s">
        <v>62</v>
      </c>
    </row>
    <row r="27" spans="1:3">
      <c r="A27" s="236" t="s">
        <v>67</v>
      </c>
      <c r="B27" s="237" t="s">
        <v>68</v>
      </c>
    </row>
    <row r="28" spans="1:3">
      <c r="A28" s="236" t="s">
        <v>77</v>
      </c>
      <c r="B28" s="237" t="s">
        <v>78</v>
      </c>
    </row>
    <row r="29" spans="1:3">
      <c r="A29" s="236" t="s">
        <v>80</v>
      </c>
      <c r="B29" s="237" t="s">
        <v>81</v>
      </c>
    </row>
    <row r="30" spans="1:3">
      <c r="A30" s="236" t="s">
        <v>82</v>
      </c>
      <c r="B30" s="237" t="s">
        <v>83</v>
      </c>
      <c r="C30" s="252"/>
    </row>
    <row r="31" spans="1:3">
      <c r="A31" s="236" t="s">
        <v>866</v>
      </c>
      <c r="B31" s="237" t="s">
        <v>867</v>
      </c>
    </row>
    <row r="32" spans="1:3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7"/>
  <sheetViews>
    <sheetView topLeftCell="A196" workbookViewId="0">
      <selection activeCell="A193" sqref="A193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3">
      <c r="A113" s="247" t="s">
        <v>1041</v>
      </c>
      <c r="B113" s="248" t="s">
        <v>1042</v>
      </c>
    </row>
    <row r="114" spans="1:3">
      <c r="A114" s="247" t="s">
        <v>1043</v>
      </c>
      <c r="B114" s="248" t="s">
        <v>1044</v>
      </c>
    </row>
    <row r="115" spans="1:3">
      <c r="A115" s="247" t="s">
        <v>1045</v>
      </c>
      <c r="B115" s="248" t="s">
        <v>1046</v>
      </c>
    </row>
    <row r="116" spans="1:3">
      <c r="A116" s="247" t="s">
        <v>1047</v>
      </c>
      <c r="B116" s="248" t="s">
        <v>1048</v>
      </c>
    </row>
    <row r="117" spans="1:3">
      <c r="A117" s="247" t="s">
        <v>1049</v>
      </c>
      <c r="B117" s="248" t="s">
        <v>1050</v>
      </c>
      <c r="C117" s="240"/>
    </row>
    <row r="118" spans="1:3">
      <c r="A118" s="247" t="s">
        <v>1051</v>
      </c>
      <c r="B118" s="248" t="s">
        <v>1052</v>
      </c>
      <c r="C118" s="240"/>
    </row>
    <row r="119" spans="1:3">
      <c r="A119" s="247" t="s">
        <v>1053</v>
      </c>
      <c r="B119" s="248" t="s">
        <v>1054</v>
      </c>
      <c r="C119" s="240"/>
    </row>
    <row r="120" spans="1:3">
      <c r="A120" s="247" t="s">
        <v>1055</v>
      </c>
      <c r="B120" s="248" t="s">
        <v>1056</v>
      </c>
      <c r="C120" s="240"/>
    </row>
    <row r="121" spans="1:3">
      <c r="A121" s="247" t="s">
        <v>1057</v>
      </c>
      <c r="B121" s="248" t="s">
        <v>1058</v>
      </c>
      <c r="C121" s="240"/>
    </row>
    <row r="122" spans="1:3">
      <c r="A122" s="247" t="s">
        <v>1059</v>
      </c>
      <c r="B122" s="248" t="s">
        <v>1060</v>
      </c>
      <c r="C122" s="240"/>
    </row>
    <row r="123" spans="1:3">
      <c r="A123" s="247" t="s">
        <v>1061</v>
      </c>
      <c r="B123" s="248" t="s">
        <v>1062</v>
      </c>
      <c r="C123" s="240"/>
    </row>
    <row r="124" spans="1:3">
      <c r="A124" s="247" t="s">
        <v>1063</v>
      </c>
      <c r="B124" s="248" t="s">
        <v>1064</v>
      </c>
      <c r="C124" s="240"/>
    </row>
    <row r="125" spans="1:3">
      <c r="A125" s="247" t="s">
        <v>1065</v>
      </c>
      <c r="B125" s="248" t="s">
        <v>1066</v>
      </c>
      <c r="C125" s="240"/>
    </row>
    <row r="126" spans="1:3">
      <c r="A126" s="247" t="s">
        <v>1067</v>
      </c>
      <c r="B126" s="248" t="s">
        <v>1068</v>
      </c>
      <c r="C126" s="240"/>
    </row>
    <row r="127" spans="1:3">
      <c r="A127" s="247" t="s">
        <v>1069</v>
      </c>
      <c r="B127" s="248" t="s">
        <v>1070</v>
      </c>
      <c r="C127" s="240"/>
    </row>
    <row r="128" spans="1:3">
      <c r="A128" s="247" t="s">
        <v>1071</v>
      </c>
      <c r="B128" s="248" t="s">
        <v>1072</v>
      </c>
      <c r="C128" s="240"/>
    </row>
    <row r="129" spans="1:3">
      <c r="A129" s="247" t="s">
        <v>1073</v>
      </c>
      <c r="B129" s="248" t="s">
        <v>1072</v>
      </c>
      <c r="C129" s="240"/>
    </row>
    <row r="130" spans="1:3">
      <c r="A130" s="247" t="s">
        <v>1074</v>
      </c>
      <c r="B130" s="248" t="s">
        <v>1075</v>
      </c>
      <c r="C130" s="240"/>
    </row>
    <row r="131" spans="1:3">
      <c r="A131" s="247" t="s">
        <v>1076</v>
      </c>
      <c r="B131" s="248" t="s">
        <v>1077</v>
      </c>
    </row>
    <row r="132" spans="1:3">
      <c r="A132" s="247" t="s">
        <v>1078</v>
      </c>
      <c r="B132" s="248" t="s">
        <v>1075</v>
      </c>
    </row>
    <row r="133" spans="1:3">
      <c r="A133" s="245" t="s">
        <v>158</v>
      </c>
      <c r="B133" s="249" t="s">
        <v>1294</v>
      </c>
    </row>
    <row r="134" spans="1:3">
      <c r="A134" s="247" t="s">
        <v>1079</v>
      </c>
      <c r="B134" s="248" t="s">
        <v>1080</v>
      </c>
    </row>
    <row r="135" spans="1:3">
      <c r="A135" s="247" t="s">
        <v>1081</v>
      </c>
      <c r="B135" s="248" t="s">
        <v>1082</v>
      </c>
    </row>
    <row r="136" spans="1:3">
      <c r="A136" s="247" t="s">
        <v>1083</v>
      </c>
      <c r="B136" s="248" t="s">
        <v>1084</v>
      </c>
    </row>
    <row r="137" spans="1:3">
      <c r="A137" s="247" t="s">
        <v>1085</v>
      </c>
      <c r="B137" s="248" t="s">
        <v>1086</v>
      </c>
    </row>
    <row r="138" spans="1:3">
      <c r="A138" s="247" t="s">
        <v>1087</v>
      </c>
      <c r="B138" s="248" t="s">
        <v>1088</v>
      </c>
    </row>
    <row r="139" spans="1:3">
      <c r="A139" s="247" t="s">
        <v>1089</v>
      </c>
      <c r="B139" s="248" t="s">
        <v>1090</v>
      </c>
    </row>
    <row r="140" spans="1:3">
      <c r="A140" s="247" t="s">
        <v>1091</v>
      </c>
      <c r="B140" s="248" t="s">
        <v>1092</v>
      </c>
    </row>
    <row r="141" spans="1:3">
      <c r="A141" s="247" t="s">
        <v>1093</v>
      </c>
      <c r="B141" s="248" t="s">
        <v>1094</v>
      </c>
    </row>
    <row r="142" spans="1:3">
      <c r="A142" s="247" t="s">
        <v>1095</v>
      </c>
      <c r="B142" s="248" t="s">
        <v>1096</v>
      </c>
    </row>
    <row r="143" spans="1:3">
      <c r="A143" s="247" t="s">
        <v>1097</v>
      </c>
      <c r="B143" s="248" t="s">
        <v>1098</v>
      </c>
    </row>
    <row r="144" spans="1:3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3">
      <c r="A193" s="245" t="s">
        <v>287</v>
      </c>
      <c r="B193" s="249" t="s">
        <v>896</v>
      </c>
      <c r="C193" s="240"/>
    </row>
    <row r="194" spans="1:3">
      <c r="A194" s="247" t="s">
        <v>1195</v>
      </c>
      <c r="B194" s="248" t="s">
        <v>370</v>
      </c>
      <c r="C194" s="240"/>
    </row>
    <row r="195" spans="1:3">
      <c r="A195" s="247" t="s">
        <v>1196</v>
      </c>
      <c r="B195" s="248" t="s">
        <v>371</v>
      </c>
      <c r="C195" s="240" t="s">
        <v>1668</v>
      </c>
    </row>
    <row r="196" spans="1:3">
      <c r="A196" s="247" t="s">
        <v>1197</v>
      </c>
      <c r="B196" s="248" t="s">
        <v>1198</v>
      </c>
      <c r="C196" s="240"/>
    </row>
    <row r="197" spans="1:3">
      <c r="A197" s="247" t="s">
        <v>1199</v>
      </c>
      <c r="B197" s="248" t="s">
        <v>1200</v>
      </c>
    </row>
    <row r="198" spans="1:3">
      <c r="A198" s="245" t="s">
        <v>897</v>
      </c>
      <c r="B198" s="249" t="s">
        <v>898</v>
      </c>
    </row>
    <row r="199" spans="1:3">
      <c r="A199" s="247" t="s">
        <v>1201</v>
      </c>
      <c r="B199" s="248" t="s">
        <v>1202</v>
      </c>
    </row>
    <row r="200" spans="1:3">
      <c r="A200" s="247" t="s">
        <v>1203</v>
      </c>
      <c r="B200" s="248" t="s">
        <v>1204</v>
      </c>
    </row>
    <row r="201" spans="1:3">
      <c r="A201" s="247" t="s">
        <v>1205</v>
      </c>
      <c r="B201" s="248" t="s">
        <v>1206</v>
      </c>
    </row>
    <row r="202" spans="1:3">
      <c r="A202" s="245" t="s">
        <v>899</v>
      </c>
      <c r="B202" s="249" t="s">
        <v>900</v>
      </c>
    </row>
    <row r="203" spans="1:3">
      <c r="A203" s="247" t="s">
        <v>1207</v>
      </c>
      <c r="B203" s="248" t="s">
        <v>1208</v>
      </c>
    </row>
    <row r="204" spans="1:3">
      <c r="A204" s="243" t="s">
        <v>705</v>
      </c>
      <c r="B204" s="250" t="s">
        <v>1308</v>
      </c>
    </row>
    <row r="205" spans="1:3">
      <c r="A205" s="245" t="s">
        <v>1306</v>
      </c>
      <c r="B205" s="249" t="s">
        <v>1307</v>
      </c>
    </row>
    <row r="206" spans="1:3">
      <c r="A206" s="245" t="s">
        <v>907</v>
      </c>
      <c r="B206" s="249" t="s">
        <v>1312</v>
      </c>
    </row>
    <row r="207" spans="1:3">
      <c r="A207" s="247" t="s">
        <v>1209</v>
      </c>
      <c r="B207" s="248" t="s">
        <v>1210</v>
      </c>
    </row>
    <row r="208" spans="1:3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  <pageSetup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Marija Mrdjen</cp:lastModifiedBy>
  <cp:lastPrinted>2019-12-14T15:01:38Z</cp:lastPrinted>
  <dcterms:created xsi:type="dcterms:W3CDTF">2018-09-10T07:36:17Z</dcterms:created>
  <dcterms:modified xsi:type="dcterms:W3CDTF">2019-12-14T15:03:10Z</dcterms:modified>
</cp:coreProperties>
</file>